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lowojoba\Documents\Planning CHATT\"/>
    </mc:Choice>
  </mc:AlternateContent>
  <bookViews>
    <workbookView xWindow="0" yWindow="0" windowWidth="11460" windowHeight="8130" tabRatio="519" firstSheet="3" activeTab="3"/>
  </bookViews>
  <sheets>
    <sheet name="#1=- Flat" sheetId="1" state="hidden" r:id="rId1"/>
    <sheet name="#2=+10%" sheetId="2" state="hidden" r:id="rId2"/>
    <sheet name="#3=-10%" sheetId="3" state="hidden" r:id="rId3"/>
    <sheet name="Allocations and Expenditures" sheetId="5" r:id="rId4"/>
  </sheets>
  <definedNames>
    <definedName name="_xlnm.Print_Area" localSheetId="0">'#1=- Flat'!$A$1:$J$49</definedName>
    <definedName name="_xlnm.Print_Area" localSheetId="3">'Allocations and Expenditures'!$A$1:$L$49</definedName>
    <definedName name="_xlnm.Print_Titles" localSheetId="3">'Allocations and Expenditures'!$1:$3</definedName>
    <definedName name="TitleRegion1.A1.L50.1">'Allocations and Expenditures'!$L$49</definedName>
  </definedNames>
  <calcPr calcId="162913"/>
</workbook>
</file>

<file path=xl/calcChain.xml><?xml version="1.0" encoding="utf-8"?>
<calcChain xmlns="http://schemas.openxmlformats.org/spreadsheetml/2006/main">
  <c r="K46" i="5" l="1"/>
  <c r="D43" i="5"/>
  <c r="D42" i="5"/>
  <c r="D41" i="5"/>
  <c r="D40" i="5"/>
  <c r="D39" i="5"/>
  <c r="D37" i="5"/>
  <c r="D38" i="5"/>
  <c r="C15" i="5" l="1"/>
  <c r="F32" i="5" l="1"/>
  <c r="J14" i="5"/>
  <c r="G43" i="5" l="1"/>
  <c r="E43" i="5"/>
  <c r="C37" i="5"/>
  <c r="C38" i="5"/>
  <c r="C39" i="5"/>
  <c r="C40" i="5"/>
  <c r="J40" i="5"/>
  <c r="C41" i="5"/>
  <c r="C42" i="5"/>
  <c r="J26" i="5"/>
  <c r="J28" i="5"/>
  <c r="J29" i="5"/>
  <c r="J30" i="5"/>
  <c r="J31" i="5"/>
  <c r="J32" i="5"/>
  <c r="J33" i="5"/>
  <c r="J25" i="5"/>
  <c r="J15" i="5"/>
  <c r="J16" i="5"/>
  <c r="J17" i="5"/>
  <c r="J6" i="5"/>
  <c r="J8" i="5"/>
  <c r="J10" i="5"/>
  <c r="J11" i="5"/>
  <c r="J12" i="5"/>
  <c r="J13" i="5"/>
  <c r="F26" i="5"/>
  <c r="F28" i="5"/>
  <c r="F29" i="5"/>
  <c r="F30" i="5"/>
  <c r="F31" i="5"/>
  <c r="F33" i="5"/>
  <c r="F25" i="5"/>
  <c r="F8" i="5"/>
  <c r="F10" i="5"/>
  <c r="F11" i="5"/>
  <c r="F12" i="5"/>
  <c r="F13" i="5"/>
  <c r="F14" i="5"/>
  <c r="E5" i="5"/>
  <c r="J5" i="5" s="1"/>
  <c r="E9" i="5"/>
  <c r="J9" i="5" s="1"/>
  <c r="E7" i="5"/>
  <c r="J7" i="5" s="1"/>
  <c r="C6" i="5"/>
  <c r="F6" i="5" s="1"/>
  <c r="C36" i="5"/>
  <c r="J36" i="5" s="1"/>
  <c r="C35" i="5"/>
  <c r="J35" i="5" s="1"/>
  <c r="C34" i="5"/>
  <c r="N5" i="1"/>
  <c r="P5" i="1"/>
  <c r="V5" i="1" s="1"/>
  <c r="K36" i="5"/>
  <c r="K35" i="5"/>
  <c r="K34" i="5"/>
  <c r="K17" i="5"/>
  <c r="C17" i="5" s="1"/>
  <c r="K16" i="5"/>
  <c r="C16" i="5" s="1"/>
  <c r="F16" i="5" s="1"/>
  <c r="K15" i="5"/>
  <c r="K14" i="5"/>
  <c r="E24" i="3"/>
  <c r="E25" i="3"/>
  <c r="E26" i="3"/>
  <c r="E30" i="3"/>
  <c r="E31" i="3"/>
  <c r="E32" i="3"/>
  <c r="E34" i="3"/>
  <c r="E35" i="3"/>
  <c r="E36" i="3"/>
  <c r="E37" i="3"/>
  <c r="E39" i="3"/>
  <c r="E40" i="3"/>
  <c r="E41" i="3"/>
  <c r="E6" i="3"/>
  <c r="E15" i="3"/>
  <c r="E16" i="3"/>
  <c r="E17" i="3"/>
  <c r="E24" i="2"/>
  <c r="E25" i="2"/>
  <c r="E26" i="2"/>
  <c r="E30" i="2"/>
  <c r="E31" i="2"/>
  <c r="E32" i="2"/>
  <c r="E34" i="2"/>
  <c r="E35" i="2"/>
  <c r="E36" i="2"/>
  <c r="E37" i="2"/>
  <c r="E39" i="2"/>
  <c r="E40" i="2"/>
  <c r="E41" i="2"/>
  <c r="E6" i="2"/>
  <c r="E15" i="2"/>
  <c r="E16" i="2"/>
  <c r="E17" i="2"/>
  <c r="O27" i="1"/>
  <c r="O42" i="1" s="1"/>
  <c r="N38" i="1"/>
  <c r="P38" i="1" s="1"/>
  <c r="N33" i="1"/>
  <c r="P33" i="1"/>
  <c r="N29" i="1"/>
  <c r="P29" i="1" s="1"/>
  <c r="V29" i="1" s="1"/>
  <c r="N28" i="1"/>
  <c r="N27" i="1"/>
  <c r="N23" i="1"/>
  <c r="N14" i="1"/>
  <c r="P14" i="1" s="1"/>
  <c r="V14" i="1" s="1"/>
  <c r="N13" i="1"/>
  <c r="P13" i="1" s="1"/>
  <c r="N12" i="1"/>
  <c r="P12" i="1" s="1"/>
  <c r="N11" i="1"/>
  <c r="P11" i="1" s="1"/>
  <c r="V11" i="1" s="1"/>
  <c r="N10" i="1"/>
  <c r="N9" i="1"/>
  <c r="P9" i="1" s="1"/>
  <c r="N8" i="1"/>
  <c r="P8" i="1"/>
  <c r="N7" i="1"/>
  <c r="E27" i="1"/>
  <c r="E33" i="1"/>
  <c r="E33" i="2" s="1"/>
  <c r="E33" i="3"/>
  <c r="E28" i="1"/>
  <c r="E28" i="2"/>
  <c r="E23" i="1"/>
  <c r="E38" i="1"/>
  <c r="E42" i="1" s="1"/>
  <c r="E42" i="3" s="1"/>
  <c r="E29" i="1"/>
  <c r="E11" i="1"/>
  <c r="I11" i="1"/>
  <c r="I11" i="3" s="1"/>
  <c r="K11" i="3" s="1"/>
  <c r="E8" i="1"/>
  <c r="E12" i="1"/>
  <c r="E10" i="1"/>
  <c r="E14" i="1"/>
  <c r="E14" i="3"/>
  <c r="E13" i="1"/>
  <c r="E7" i="1"/>
  <c r="E9" i="1"/>
  <c r="I9" i="1" s="1"/>
  <c r="E5" i="1"/>
  <c r="G23" i="1"/>
  <c r="C23" i="1"/>
  <c r="S5" i="1"/>
  <c r="T5" i="1"/>
  <c r="I28" i="1"/>
  <c r="T24" i="1"/>
  <c r="T25" i="1"/>
  <c r="T26" i="1"/>
  <c r="T29" i="1"/>
  <c r="T30" i="1"/>
  <c r="T31" i="1"/>
  <c r="T32" i="1"/>
  <c r="T34" i="1"/>
  <c r="T35" i="1"/>
  <c r="T36" i="1"/>
  <c r="T37" i="1"/>
  <c r="T39" i="1"/>
  <c r="T40" i="1"/>
  <c r="T41" i="1"/>
  <c r="T6" i="1"/>
  <c r="T13" i="1"/>
  <c r="T15" i="1"/>
  <c r="T16" i="1"/>
  <c r="T17" i="1"/>
  <c r="S27" i="1"/>
  <c r="S10" i="1"/>
  <c r="S8" i="1"/>
  <c r="T8" i="1" s="1"/>
  <c r="S7" i="1"/>
  <c r="R38" i="1"/>
  <c r="T38" i="1"/>
  <c r="V38" i="1" s="1"/>
  <c r="R33" i="1"/>
  <c r="T33" i="1" s="1"/>
  <c r="V33" i="1" s="1"/>
  <c r="R28" i="1"/>
  <c r="T28" i="1" s="1"/>
  <c r="V28" i="1" s="1"/>
  <c r="R27" i="1"/>
  <c r="T27" i="1" s="1"/>
  <c r="R23" i="1"/>
  <c r="T23" i="1" s="1"/>
  <c r="R14" i="1"/>
  <c r="T14" i="1"/>
  <c r="R12" i="1"/>
  <c r="T12" i="1" s="1"/>
  <c r="R11" i="1"/>
  <c r="T11" i="1"/>
  <c r="R10" i="1"/>
  <c r="R9" i="1"/>
  <c r="T9" i="1" s="1"/>
  <c r="R8" i="1"/>
  <c r="R7" i="1"/>
  <c r="T7" i="1" s="1"/>
  <c r="G38" i="1"/>
  <c r="G27" i="1"/>
  <c r="G33" i="1"/>
  <c r="G28" i="1"/>
  <c r="G12" i="1"/>
  <c r="G14" i="1"/>
  <c r="G11" i="1"/>
  <c r="G10" i="1"/>
  <c r="G7" i="1"/>
  <c r="G8" i="1"/>
  <c r="G9" i="1"/>
  <c r="P24" i="1"/>
  <c r="P25" i="1"/>
  <c r="P26" i="1"/>
  <c r="P28" i="1"/>
  <c r="P30" i="1"/>
  <c r="P31" i="1"/>
  <c r="P32" i="1"/>
  <c r="P34" i="1"/>
  <c r="P35" i="1"/>
  <c r="P36" i="1"/>
  <c r="P37" i="1"/>
  <c r="P39" i="1"/>
  <c r="P40" i="1"/>
  <c r="P41" i="1"/>
  <c r="P6" i="1"/>
  <c r="P15" i="1"/>
  <c r="P16" i="1"/>
  <c r="P17" i="1"/>
  <c r="C38" i="1"/>
  <c r="C27" i="1"/>
  <c r="C33" i="1"/>
  <c r="C28" i="1"/>
  <c r="C29" i="1"/>
  <c r="C12" i="1"/>
  <c r="C14" i="1"/>
  <c r="C11" i="1"/>
  <c r="C10" i="1"/>
  <c r="C7" i="1"/>
  <c r="C8" i="1"/>
  <c r="C9" i="1"/>
  <c r="C5" i="1"/>
  <c r="I25" i="1"/>
  <c r="I30" i="1"/>
  <c r="I31" i="1"/>
  <c r="I32" i="1"/>
  <c r="I32" i="2" s="1"/>
  <c r="K32" i="2" s="1"/>
  <c r="I32" i="3"/>
  <c r="K32" i="3" s="1"/>
  <c r="I35" i="1"/>
  <c r="I35" i="2" s="1"/>
  <c r="K35" i="2" s="1"/>
  <c r="I36" i="1"/>
  <c r="I36" i="2" s="1"/>
  <c r="K36" i="2" s="1"/>
  <c r="I37" i="1"/>
  <c r="I37" i="2" s="1"/>
  <c r="I39" i="1"/>
  <c r="I40" i="1"/>
  <c r="I41" i="1"/>
  <c r="I41" i="2" s="1"/>
  <c r="I6" i="1"/>
  <c r="I6" i="2"/>
  <c r="K6" i="2" s="1"/>
  <c r="I15" i="1"/>
  <c r="I15" i="3" s="1"/>
  <c r="K15" i="3" s="1"/>
  <c r="I16" i="1"/>
  <c r="A40" i="1"/>
  <c r="A39" i="1"/>
  <c r="A27" i="1"/>
  <c r="A16" i="1"/>
  <c r="A12" i="1"/>
  <c r="A10" i="1"/>
  <c r="A9" i="1"/>
  <c r="A8" i="1"/>
  <c r="A7" i="1"/>
  <c r="A40" i="3"/>
  <c r="A39" i="3"/>
  <c r="A27" i="3"/>
  <c r="A16" i="3"/>
  <c r="A12" i="3"/>
  <c r="A10" i="3"/>
  <c r="A9" i="3"/>
  <c r="A8" i="3"/>
  <c r="A7" i="3"/>
  <c r="A40" i="2"/>
  <c r="A39" i="2"/>
  <c r="A27" i="2"/>
  <c r="A16" i="2"/>
  <c r="A12" i="2"/>
  <c r="A10" i="2"/>
  <c r="A9" i="2"/>
  <c r="A8" i="2"/>
  <c r="A7" i="2"/>
  <c r="C5" i="3"/>
  <c r="G38" i="3"/>
  <c r="G33" i="3"/>
  <c r="G29" i="3"/>
  <c r="G28" i="3"/>
  <c r="G23" i="3"/>
  <c r="G14" i="3"/>
  <c r="G12" i="3"/>
  <c r="G11" i="3"/>
  <c r="G10" i="3"/>
  <c r="G9" i="3"/>
  <c r="G8" i="3"/>
  <c r="G7" i="3"/>
  <c r="G5" i="3"/>
  <c r="C38" i="3"/>
  <c r="C33" i="3"/>
  <c r="C42" i="3" s="1"/>
  <c r="C29" i="3"/>
  <c r="C28" i="3"/>
  <c r="C27" i="3"/>
  <c r="C26" i="3"/>
  <c r="C25" i="3"/>
  <c r="C24" i="3"/>
  <c r="C23" i="3"/>
  <c r="C14" i="3"/>
  <c r="C12" i="3"/>
  <c r="C11" i="3"/>
  <c r="C10" i="3"/>
  <c r="C9" i="3"/>
  <c r="C8" i="3"/>
  <c r="C7" i="3"/>
  <c r="G38" i="2"/>
  <c r="G33" i="2"/>
  <c r="G29" i="2"/>
  <c r="G28" i="2"/>
  <c r="G23" i="2"/>
  <c r="G14" i="2"/>
  <c r="G12" i="2"/>
  <c r="G11" i="2"/>
  <c r="G10" i="2"/>
  <c r="G9" i="2"/>
  <c r="G8" i="2"/>
  <c r="G7" i="2"/>
  <c r="G5" i="2"/>
  <c r="C38" i="2"/>
  <c r="C33" i="2"/>
  <c r="C29" i="2"/>
  <c r="C28" i="2"/>
  <c r="C27" i="2"/>
  <c r="C26" i="2"/>
  <c r="C25" i="2"/>
  <c r="C24" i="2"/>
  <c r="C23" i="2"/>
  <c r="C14" i="2"/>
  <c r="C12" i="2"/>
  <c r="C11" i="2"/>
  <c r="C10" i="2"/>
  <c r="C9" i="2"/>
  <c r="C8" i="2"/>
  <c r="C7" i="2"/>
  <c r="C5" i="2"/>
  <c r="C18" i="2" s="1"/>
  <c r="I26" i="1"/>
  <c r="I26" i="3" s="1"/>
  <c r="K26" i="3" s="1"/>
  <c r="I24" i="1"/>
  <c r="I24" i="3" s="1"/>
  <c r="I34" i="1"/>
  <c r="I34" i="3" s="1"/>
  <c r="K34" i="3" s="1"/>
  <c r="I17" i="1"/>
  <c r="I17" i="3" s="1"/>
  <c r="K17" i="3" s="1"/>
  <c r="I36" i="3"/>
  <c r="K36" i="3" s="1"/>
  <c r="I27" i="1"/>
  <c r="E11" i="2"/>
  <c r="E11" i="3"/>
  <c r="I14" i="1"/>
  <c r="I14" i="2" s="1"/>
  <c r="K14" i="2" s="1"/>
  <c r="P7" i="1"/>
  <c r="P10" i="1"/>
  <c r="I24" i="2"/>
  <c r="K24" i="2" s="1"/>
  <c r="I41" i="3"/>
  <c r="O18" i="1"/>
  <c r="I6" i="3"/>
  <c r="I14" i="3"/>
  <c r="K14" i="3" s="1"/>
  <c r="I16" i="2"/>
  <c r="K16" i="2" s="1"/>
  <c r="I16" i="3"/>
  <c r="K16" i="3" s="1"/>
  <c r="E12" i="3"/>
  <c r="E23" i="3"/>
  <c r="I15" i="2"/>
  <c r="I40" i="2"/>
  <c r="K40" i="2" s="1"/>
  <c r="I40" i="3"/>
  <c r="K40" i="3" s="1"/>
  <c r="E28" i="3"/>
  <c r="E14" i="2"/>
  <c r="K15" i="2"/>
  <c r="E27" i="2"/>
  <c r="E27" i="3"/>
  <c r="G18" i="5"/>
  <c r="E9" i="3"/>
  <c r="E29" i="2"/>
  <c r="E29" i="3"/>
  <c r="I29" i="1"/>
  <c r="I27" i="2"/>
  <c r="K27" i="2" s="1"/>
  <c r="I27" i="3"/>
  <c r="E12" i="2"/>
  <c r="I12" i="1"/>
  <c r="I12" i="3" s="1"/>
  <c r="I7" i="1"/>
  <c r="I7" i="2" s="1"/>
  <c r="E7" i="2"/>
  <c r="E7" i="3"/>
  <c r="I11" i="2"/>
  <c r="K11" i="2" s="1"/>
  <c r="K27" i="3"/>
  <c r="I12" i="2"/>
  <c r="K12" i="2" s="1"/>
  <c r="I29" i="2"/>
  <c r="K29" i="2" s="1"/>
  <c r="I29" i="3"/>
  <c r="K12" i="3"/>
  <c r="K7" i="2"/>
  <c r="F40" i="5"/>
  <c r="C43" i="5" l="1"/>
  <c r="F37" i="5"/>
  <c r="J37" i="5"/>
  <c r="F43" i="5"/>
  <c r="E18" i="5"/>
  <c r="J18" i="5" s="1"/>
  <c r="G45" i="5"/>
  <c r="H33" i="5" s="1"/>
  <c r="J38" i="5"/>
  <c r="H18" i="5"/>
  <c r="H36" i="5"/>
  <c r="K18" i="5"/>
  <c r="F17" i="5"/>
  <c r="F7" i="5"/>
  <c r="H17" i="5"/>
  <c r="C18" i="1"/>
  <c r="V12" i="1"/>
  <c r="H29" i="5"/>
  <c r="C18" i="5"/>
  <c r="I7" i="3"/>
  <c r="K7" i="3" s="1"/>
  <c r="E9" i="2"/>
  <c r="I17" i="2"/>
  <c r="K17" i="2" s="1"/>
  <c r="V7" i="1"/>
  <c r="I37" i="3"/>
  <c r="K37" i="3" s="1"/>
  <c r="I34" i="2"/>
  <c r="K34" i="2" s="1"/>
  <c r="I35" i="3"/>
  <c r="K35" i="3" s="1"/>
  <c r="I33" i="1"/>
  <c r="I33" i="2" s="1"/>
  <c r="K43" i="5"/>
  <c r="K45" i="5" s="1"/>
  <c r="F5" i="5"/>
  <c r="F38" i="5"/>
  <c r="J39" i="5"/>
  <c r="J34" i="5"/>
  <c r="F42" i="5"/>
  <c r="F15" i="5"/>
  <c r="H9" i="5"/>
  <c r="J42" i="5"/>
  <c r="T10" i="1"/>
  <c r="F35" i="5"/>
  <c r="H43" i="5"/>
  <c r="V9" i="1"/>
  <c r="F9" i="5"/>
  <c r="F39" i="5"/>
  <c r="F34" i="5"/>
  <c r="K41" i="3"/>
  <c r="K41" i="2"/>
  <c r="K37" i="2"/>
  <c r="E10" i="3"/>
  <c r="I10" i="1"/>
  <c r="E10" i="2"/>
  <c r="I9" i="3"/>
  <c r="I9" i="2"/>
  <c r="K6" i="3"/>
  <c r="K24" i="3"/>
  <c r="E5" i="2"/>
  <c r="E18" i="1"/>
  <c r="I5" i="1"/>
  <c r="E8" i="3"/>
  <c r="I8" i="1"/>
  <c r="E8" i="2"/>
  <c r="E38" i="3"/>
  <c r="I38" i="1"/>
  <c r="E38" i="2"/>
  <c r="V8" i="1"/>
  <c r="Q18" i="1"/>
  <c r="K29" i="3"/>
  <c r="P27" i="1"/>
  <c r="V27" i="1" s="1"/>
  <c r="O45" i="1"/>
  <c r="E5" i="3"/>
  <c r="C42" i="2"/>
  <c r="C18" i="3"/>
  <c r="I25" i="3"/>
  <c r="I25" i="2"/>
  <c r="P23" i="1"/>
  <c r="N42" i="1"/>
  <c r="E42" i="2"/>
  <c r="I31" i="3"/>
  <c r="I31" i="2"/>
  <c r="I33" i="3"/>
  <c r="E13" i="2"/>
  <c r="I13" i="1"/>
  <c r="E13" i="3"/>
  <c r="I26" i="2"/>
  <c r="I39" i="3"/>
  <c r="I39" i="2"/>
  <c r="I28" i="3"/>
  <c r="I28" i="2"/>
  <c r="C42" i="1"/>
  <c r="C44" i="1" s="1"/>
  <c r="V10" i="1"/>
  <c r="I30" i="3"/>
  <c r="I30" i="2"/>
  <c r="P18" i="1"/>
  <c r="E23" i="2"/>
  <c r="I23" i="1"/>
  <c r="N18" i="1"/>
  <c r="F41" i="5"/>
  <c r="F36" i="5"/>
  <c r="J41" i="5"/>
  <c r="H14" i="5" l="1"/>
  <c r="H6" i="5"/>
  <c r="H31" i="5"/>
  <c r="H15" i="5"/>
  <c r="H7" i="5"/>
  <c r="H13" i="5"/>
  <c r="H10" i="5"/>
  <c r="H34" i="5"/>
  <c r="H25" i="5"/>
  <c r="H35" i="5"/>
  <c r="H26" i="5"/>
  <c r="H16" i="5"/>
  <c r="H5" i="5"/>
  <c r="H30" i="5"/>
  <c r="H11" i="5"/>
  <c r="H8" i="5"/>
  <c r="H32" i="5"/>
  <c r="H28" i="5"/>
  <c r="H12" i="5"/>
  <c r="L31" i="5"/>
  <c r="L10" i="5"/>
  <c r="E45" i="5"/>
  <c r="F18" i="5"/>
  <c r="L36" i="5"/>
  <c r="L5" i="5"/>
  <c r="L26" i="5"/>
  <c r="L30" i="5"/>
  <c r="L35" i="5"/>
  <c r="L33" i="5"/>
  <c r="L12" i="5"/>
  <c r="L11" i="5"/>
  <c r="L15" i="5"/>
  <c r="L28" i="5"/>
  <c r="L29" i="5"/>
  <c r="L14" i="5"/>
  <c r="L13" i="5"/>
  <c r="L9" i="5"/>
  <c r="L8" i="5"/>
  <c r="L25" i="5"/>
  <c r="L43" i="5" s="1"/>
  <c r="L16" i="5"/>
  <c r="L7" i="5"/>
  <c r="L17" i="5"/>
  <c r="L32" i="5"/>
  <c r="L34" i="5"/>
  <c r="L18" i="5"/>
  <c r="C45" i="5"/>
  <c r="L6" i="5"/>
  <c r="K19" i="5"/>
  <c r="K44" i="5"/>
  <c r="K47" i="5" s="1"/>
  <c r="D29" i="1"/>
  <c r="D17" i="1"/>
  <c r="D16" i="1"/>
  <c r="D30" i="1"/>
  <c r="D28" i="1"/>
  <c r="D11" i="1"/>
  <c r="D31" i="1"/>
  <c r="D15" i="1"/>
  <c r="D34" i="1"/>
  <c r="D14" i="1"/>
  <c r="D39" i="1"/>
  <c r="D23" i="1"/>
  <c r="D10" i="1"/>
  <c r="D6" i="1"/>
  <c r="C43" i="1"/>
  <c r="D43" i="1" s="1"/>
  <c r="D5" i="1"/>
  <c r="D38" i="1"/>
  <c r="D13" i="1"/>
  <c r="D32" i="1"/>
  <c r="D35" i="1"/>
  <c r="D9" i="1"/>
  <c r="D24" i="1"/>
  <c r="D18" i="1"/>
  <c r="D8" i="1"/>
  <c r="C19" i="1"/>
  <c r="D19" i="1" s="1"/>
  <c r="D41" i="1"/>
  <c r="D25" i="1"/>
  <c r="D37" i="1"/>
  <c r="D36" i="1"/>
  <c r="D7" i="1"/>
  <c r="D12" i="1"/>
  <c r="D26" i="1"/>
  <c r="D40" i="1"/>
  <c r="D27" i="1"/>
  <c r="D33" i="1"/>
  <c r="K28" i="3"/>
  <c r="K31" i="2"/>
  <c r="C44" i="3"/>
  <c r="D18" i="3"/>
  <c r="I5" i="3"/>
  <c r="I5" i="2"/>
  <c r="I18" i="1"/>
  <c r="K31" i="3"/>
  <c r="K25" i="2"/>
  <c r="E44" i="1"/>
  <c r="E18" i="2"/>
  <c r="E18" i="3"/>
  <c r="K9" i="2"/>
  <c r="K30" i="3"/>
  <c r="K39" i="2"/>
  <c r="K33" i="2"/>
  <c r="I38" i="3"/>
  <c r="I38" i="2"/>
  <c r="I8" i="3"/>
  <c r="I8" i="2"/>
  <c r="N45" i="1"/>
  <c r="D42" i="1"/>
  <c r="K39" i="3"/>
  <c r="K33" i="3"/>
  <c r="Q42" i="1"/>
  <c r="Q45" i="1" s="1"/>
  <c r="V23" i="1"/>
  <c r="P42" i="1"/>
  <c r="P45" i="1" s="1"/>
  <c r="K25" i="3"/>
  <c r="I42" i="1"/>
  <c r="I42" i="2" s="1"/>
  <c r="I23" i="2"/>
  <c r="I23" i="3"/>
  <c r="K30" i="2"/>
  <c r="K28" i="2"/>
  <c r="K26" i="2"/>
  <c r="I13" i="3"/>
  <c r="I13" i="2"/>
  <c r="K9" i="3"/>
  <c r="I10" i="2"/>
  <c r="I10" i="3"/>
  <c r="C44" i="2"/>
  <c r="D18" i="5" l="1"/>
  <c r="L45" i="5"/>
  <c r="D9" i="5"/>
  <c r="D12" i="5"/>
  <c r="D36" i="5"/>
  <c r="D33" i="5"/>
  <c r="D11" i="5"/>
  <c r="D30" i="5"/>
  <c r="D13" i="5"/>
  <c r="D26" i="5"/>
  <c r="D5" i="5"/>
  <c r="D32" i="5"/>
  <c r="D31" i="5"/>
  <c r="D10" i="5"/>
  <c r="D7" i="5"/>
  <c r="D8" i="5"/>
  <c r="D14" i="5"/>
  <c r="D25" i="5"/>
  <c r="D29" i="5"/>
  <c r="D16" i="5"/>
  <c r="D28" i="5"/>
  <c r="D6" i="5"/>
  <c r="D15" i="5"/>
  <c r="D34" i="5"/>
  <c r="D35" i="5"/>
  <c r="D17" i="5"/>
  <c r="F45" i="5"/>
  <c r="D24" i="2"/>
  <c r="D31" i="2"/>
  <c r="D34" i="2"/>
  <c r="D10" i="2"/>
  <c r="D6" i="2"/>
  <c r="D39" i="2"/>
  <c r="D15" i="2"/>
  <c r="D5" i="2"/>
  <c r="D37" i="2"/>
  <c r="D26" i="2"/>
  <c r="D11" i="2"/>
  <c r="D32" i="2"/>
  <c r="C43" i="2"/>
  <c r="D43" i="2" s="1"/>
  <c r="D33" i="2"/>
  <c r="D41" i="2"/>
  <c r="D16" i="2"/>
  <c r="D13" i="2"/>
  <c r="D35" i="2"/>
  <c r="D30" i="2"/>
  <c r="D36" i="2"/>
  <c r="D17" i="2"/>
  <c r="D23" i="2"/>
  <c r="D38" i="2"/>
  <c r="D27" i="2"/>
  <c r="D29" i="2"/>
  <c r="D7" i="2"/>
  <c r="C19" i="2"/>
  <c r="D19" i="2" s="1"/>
  <c r="D40" i="2"/>
  <c r="D8" i="2"/>
  <c r="D18" i="2"/>
  <c r="D28" i="2"/>
  <c r="D25" i="2"/>
  <c r="D14" i="2"/>
  <c r="D12" i="2"/>
  <c r="D9" i="2"/>
  <c r="D42" i="2"/>
  <c r="F16" i="1"/>
  <c r="F35" i="1"/>
  <c r="E43" i="1"/>
  <c r="F12" i="1"/>
  <c r="F37" i="1"/>
  <c r="F29" i="1"/>
  <c r="E19" i="1"/>
  <c r="F34" i="1"/>
  <c r="F33" i="1"/>
  <c r="F15" i="1"/>
  <c r="F30" i="1"/>
  <c r="F17" i="1"/>
  <c r="E44" i="2"/>
  <c r="F6" i="1"/>
  <c r="F9" i="1"/>
  <c r="F31" i="1"/>
  <c r="F28" i="1"/>
  <c r="F14" i="1"/>
  <c r="F36" i="1"/>
  <c r="F11" i="1"/>
  <c r="F32" i="1"/>
  <c r="F40" i="1"/>
  <c r="F23" i="1"/>
  <c r="F41" i="1"/>
  <c r="F7" i="1"/>
  <c r="E44" i="3"/>
  <c r="F27" i="1"/>
  <c r="F39" i="1"/>
  <c r="I46" i="1"/>
  <c r="F5" i="1"/>
  <c r="F38" i="1"/>
  <c r="F13" i="1"/>
  <c r="F10" i="1"/>
  <c r="F42" i="1"/>
  <c r="F8" i="1"/>
  <c r="I44" i="1"/>
  <c r="I18" i="2"/>
  <c r="K10" i="3"/>
  <c r="K23" i="2"/>
  <c r="K38" i="2"/>
  <c r="K13" i="2"/>
  <c r="K8" i="2"/>
  <c r="K38" i="3"/>
  <c r="F18" i="2"/>
  <c r="E46" i="2"/>
  <c r="K5" i="2"/>
  <c r="D8" i="3"/>
  <c r="D34" i="3"/>
  <c r="D40" i="3"/>
  <c r="D39" i="3"/>
  <c r="D12" i="3"/>
  <c r="C19" i="3"/>
  <c r="D19" i="3" s="1"/>
  <c r="D37" i="3"/>
  <c r="D16" i="3"/>
  <c r="D29" i="3"/>
  <c r="D14" i="3"/>
  <c r="D31" i="3"/>
  <c r="D26" i="3"/>
  <c r="D17" i="3"/>
  <c r="D15" i="3"/>
  <c r="D6" i="3"/>
  <c r="D13" i="3"/>
  <c r="D30" i="3"/>
  <c r="D9" i="3"/>
  <c r="C43" i="3"/>
  <c r="D43" i="3" s="1"/>
  <c r="D5" i="3"/>
  <c r="D35" i="3"/>
  <c r="D36" i="3"/>
  <c r="D33" i="3"/>
  <c r="D41" i="3"/>
  <c r="D10" i="3"/>
  <c r="D32" i="3"/>
  <c r="D42" i="3"/>
  <c r="D25" i="3"/>
  <c r="D38" i="3"/>
  <c r="D7" i="3"/>
  <c r="D11" i="3"/>
  <c r="D23" i="3"/>
  <c r="D27" i="3"/>
  <c r="D24" i="3"/>
  <c r="D28" i="3"/>
  <c r="K10" i="2"/>
  <c r="K13" i="3"/>
  <c r="K23" i="3"/>
  <c r="K8" i="3"/>
  <c r="F18" i="1"/>
  <c r="K5" i="3"/>
  <c r="I18" i="3"/>
  <c r="I42" i="3"/>
  <c r="I44" i="2" l="1"/>
  <c r="J32" i="1"/>
  <c r="J14" i="1"/>
  <c r="J15" i="1"/>
  <c r="J41" i="1"/>
  <c r="J17" i="1"/>
  <c r="J11" i="1"/>
  <c r="J27" i="1"/>
  <c r="J30" i="1"/>
  <c r="J7" i="1"/>
  <c r="J40" i="1"/>
  <c r="J16" i="1"/>
  <c r="J35" i="1"/>
  <c r="J37" i="1"/>
  <c r="J34" i="1"/>
  <c r="J29" i="1"/>
  <c r="J28" i="1"/>
  <c r="J36" i="1"/>
  <c r="J39" i="1"/>
  <c r="J12" i="1"/>
  <c r="J6" i="1"/>
  <c r="J33" i="1"/>
  <c r="J31" i="1"/>
  <c r="J9" i="1"/>
  <c r="J10" i="1"/>
  <c r="J5" i="1"/>
  <c r="J8" i="1"/>
  <c r="J38" i="1"/>
  <c r="J23" i="1"/>
  <c r="J42" i="1" s="1"/>
  <c r="J13" i="1"/>
  <c r="I46" i="2"/>
  <c r="K46" i="2" s="1"/>
  <c r="I19" i="1"/>
  <c r="I19" i="2" s="1"/>
  <c r="I43" i="1"/>
  <c r="I43" i="2" s="1"/>
  <c r="J43" i="2" s="1"/>
  <c r="F15" i="2"/>
  <c r="F9" i="2"/>
  <c r="F12" i="2"/>
  <c r="F11" i="2"/>
  <c r="F6" i="2"/>
  <c r="F16" i="2"/>
  <c r="F7" i="2"/>
  <c r="F17" i="2"/>
  <c r="F14" i="2"/>
  <c r="F5" i="2"/>
  <c r="F8" i="2"/>
  <c r="F10" i="2"/>
  <c r="F13" i="2"/>
  <c r="K18" i="3"/>
  <c r="K42" i="2"/>
  <c r="J18" i="2"/>
  <c r="F34" i="3"/>
  <c r="F30" i="3"/>
  <c r="F17" i="3"/>
  <c r="F36" i="3"/>
  <c r="F9" i="3"/>
  <c r="F41" i="3"/>
  <c r="F32" i="3"/>
  <c r="F39" i="3"/>
  <c r="F7" i="3"/>
  <c r="I46" i="3"/>
  <c r="F28" i="3"/>
  <c r="F15" i="3"/>
  <c r="F33" i="3"/>
  <c r="F14" i="3"/>
  <c r="F40" i="3"/>
  <c r="F6" i="3"/>
  <c r="F23" i="3"/>
  <c r="F29" i="3"/>
  <c r="F37" i="3"/>
  <c r="F31" i="3"/>
  <c r="F42" i="3"/>
  <c r="F11" i="3"/>
  <c r="F16" i="3"/>
  <c r="F27" i="3"/>
  <c r="F35" i="3"/>
  <c r="F12" i="3"/>
  <c r="F10" i="3"/>
  <c r="F13" i="3"/>
  <c r="F5" i="3"/>
  <c r="F38" i="3"/>
  <c r="F8" i="3"/>
  <c r="F18" i="3"/>
  <c r="K42" i="3"/>
  <c r="K18" i="2"/>
  <c r="K44" i="2" s="1"/>
  <c r="J18" i="1"/>
  <c r="I44" i="3"/>
  <c r="F41" i="2"/>
  <c r="F37" i="2"/>
  <c r="F33" i="2"/>
  <c r="F40" i="2"/>
  <c r="F35" i="2"/>
  <c r="F31" i="2"/>
  <c r="F30" i="2"/>
  <c r="F39" i="2"/>
  <c r="F28" i="2"/>
  <c r="F32" i="2"/>
  <c r="F36" i="2"/>
  <c r="F34" i="2"/>
  <c r="F29" i="2"/>
  <c r="F27" i="2"/>
  <c r="F42" i="2"/>
  <c r="F38" i="2"/>
  <c r="F23" i="2"/>
  <c r="F19" i="1"/>
  <c r="E19" i="2"/>
  <c r="E19" i="3"/>
  <c r="E43" i="2"/>
  <c r="E43" i="3"/>
  <c r="F43" i="3" s="1"/>
  <c r="F43" i="1"/>
  <c r="L15" i="2" l="1"/>
  <c r="L32" i="2"/>
  <c r="L36" i="2"/>
  <c r="L7" i="2"/>
  <c r="L12" i="2"/>
  <c r="L14" i="2"/>
  <c r="L17" i="2"/>
  <c r="L16" i="2"/>
  <c r="L34" i="2"/>
  <c r="L29" i="2"/>
  <c r="L11" i="2"/>
  <c r="L40" i="2"/>
  <c r="L6" i="2"/>
  <c r="L35" i="2"/>
  <c r="L27" i="2"/>
  <c r="L24" i="2"/>
  <c r="L41" i="2"/>
  <c r="L37" i="2"/>
  <c r="L30" i="2"/>
  <c r="L28" i="2"/>
  <c r="L31" i="2"/>
  <c r="L25" i="2"/>
  <c r="L33" i="2"/>
  <c r="L39" i="2"/>
  <c r="L26" i="2"/>
  <c r="L9" i="2"/>
  <c r="L23" i="2"/>
  <c r="J35" i="3"/>
  <c r="J24" i="3"/>
  <c r="J34" i="3"/>
  <c r="J17" i="3"/>
  <c r="J14" i="3"/>
  <c r="J15" i="3"/>
  <c r="J36" i="3"/>
  <c r="J40" i="3"/>
  <c r="J11" i="3"/>
  <c r="J26" i="3"/>
  <c r="J32" i="3"/>
  <c r="J16" i="3"/>
  <c r="J12" i="3"/>
  <c r="J27" i="3"/>
  <c r="J6" i="3"/>
  <c r="J29" i="3"/>
  <c r="J41" i="3"/>
  <c r="J37" i="3"/>
  <c r="J7" i="3"/>
  <c r="J39" i="3"/>
  <c r="J25" i="3"/>
  <c r="J28" i="3"/>
  <c r="J30" i="3"/>
  <c r="J31" i="3"/>
  <c r="J33" i="3"/>
  <c r="J9" i="3"/>
  <c r="J38" i="3"/>
  <c r="J8" i="3"/>
  <c r="J5" i="3"/>
  <c r="J23" i="3"/>
  <c r="J13" i="3"/>
  <c r="J10" i="3"/>
  <c r="L5" i="2"/>
  <c r="J42" i="3"/>
  <c r="J19" i="2"/>
  <c r="L8" i="2"/>
  <c r="L38" i="2"/>
  <c r="J14" i="2"/>
  <c r="J36" i="2"/>
  <c r="J16" i="2"/>
  <c r="J15" i="2"/>
  <c r="J17" i="2"/>
  <c r="J35" i="2"/>
  <c r="J34" i="2"/>
  <c r="J32" i="2"/>
  <c r="J11" i="2"/>
  <c r="J7" i="2"/>
  <c r="J24" i="2"/>
  <c r="J6" i="2"/>
  <c r="J40" i="2"/>
  <c r="J29" i="2"/>
  <c r="J41" i="2"/>
  <c r="J37" i="2"/>
  <c r="J27" i="2"/>
  <c r="J12" i="2"/>
  <c r="J31" i="2"/>
  <c r="J39" i="2"/>
  <c r="J28" i="2"/>
  <c r="J9" i="2"/>
  <c r="J33" i="2"/>
  <c r="J30" i="2"/>
  <c r="J26" i="2"/>
  <c r="J25" i="2"/>
  <c r="J38" i="2"/>
  <c r="J42" i="2"/>
  <c r="J23" i="2"/>
  <c r="J5" i="2"/>
  <c r="J8" i="2"/>
  <c r="J10" i="2"/>
  <c r="J13" i="2"/>
  <c r="J18" i="3"/>
  <c r="J44" i="1"/>
  <c r="I19" i="3"/>
  <c r="J19" i="3" s="1"/>
  <c r="I43" i="3"/>
  <c r="J43" i="3" s="1"/>
  <c r="K46" i="3"/>
  <c r="L13" i="2"/>
  <c r="K44" i="3"/>
  <c r="K43" i="2"/>
  <c r="K19" i="2"/>
  <c r="L10" i="2"/>
  <c r="K43" i="3" l="1"/>
  <c r="K19" i="3"/>
  <c r="L40" i="3"/>
  <c r="L16" i="3"/>
  <c r="L15" i="3"/>
  <c r="L27" i="3"/>
  <c r="L26" i="3"/>
  <c r="L35" i="3"/>
  <c r="L11" i="3"/>
  <c r="L14" i="3"/>
  <c r="L36" i="3"/>
  <c r="L12" i="3"/>
  <c r="L34" i="3"/>
  <c r="L17" i="3"/>
  <c r="L32" i="3"/>
  <c r="L7" i="3"/>
  <c r="L24" i="3"/>
  <c r="L41" i="3"/>
  <c r="L6" i="3"/>
  <c r="L37" i="3"/>
  <c r="L29" i="3"/>
  <c r="L39" i="3"/>
  <c r="L25" i="3"/>
  <c r="L30" i="3"/>
  <c r="L28" i="3"/>
  <c r="L31" i="3"/>
  <c r="L33" i="3"/>
  <c r="L9" i="3"/>
  <c r="L13" i="3"/>
  <c r="L38" i="3"/>
  <c r="L5" i="3"/>
  <c r="L23" i="3"/>
  <c r="L10" i="3"/>
  <c r="L8" i="3"/>
  <c r="L18" i="2"/>
  <c r="L42" i="2"/>
  <c r="L42" i="3" l="1"/>
  <c r="L44" i="2"/>
  <c r="L18" i="3"/>
</calcChain>
</file>

<file path=xl/sharedStrings.xml><?xml version="1.0" encoding="utf-8"?>
<sst xmlns="http://schemas.openxmlformats.org/spreadsheetml/2006/main" count="337" uniqueCount="99">
  <si>
    <t>Mental Health Services</t>
  </si>
  <si>
    <t>Subtotal, Core Services</t>
  </si>
  <si>
    <t>Dollars</t>
  </si>
  <si>
    <t>Subtotal, Support Services</t>
  </si>
  <si>
    <t>A. Core Services</t>
  </si>
  <si>
    <t>Medical Case Management</t>
  </si>
  <si>
    <t>Early Intervention Services</t>
  </si>
  <si>
    <t>Home Health Care</t>
  </si>
  <si>
    <t>Hospice Services</t>
  </si>
  <si>
    <t>Outreach Services</t>
  </si>
  <si>
    <t>Child Care Services</t>
  </si>
  <si>
    <t>Housing Services</t>
  </si>
  <si>
    <t>Legal Services</t>
  </si>
  <si>
    <t>Service Category</t>
  </si>
  <si>
    <t>Health Education/Risk Reduction</t>
  </si>
  <si>
    <t>Linguistic Services</t>
  </si>
  <si>
    <t>Rehabilitation Services</t>
  </si>
  <si>
    <t xml:space="preserve">Respite Care </t>
  </si>
  <si>
    <t>Treatment Adherence Counseling</t>
  </si>
  <si>
    <t>AIDS Drug Assistance Program</t>
  </si>
  <si>
    <t>Oral (Dental) Health Care</t>
  </si>
  <si>
    <t>Outpatient/Ambulatory Medical Care</t>
  </si>
  <si>
    <t>Medical Nutrition Therapy</t>
  </si>
  <si>
    <t>Health Insurance Prem &amp; Cost Sh. Asst</t>
  </si>
  <si>
    <t>Home &amp; Cmty-Based Health Services</t>
  </si>
  <si>
    <t>Food Bank/Home Delivered Meals</t>
  </si>
  <si>
    <t>Medical Transportation Services</t>
  </si>
  <si>
    <t>Minimum Target (75%)</t>
  </si>
  <si>
    <t>Maximum Permitted (25%)</t>
  </si>
  <si>
    <t>Substance Abuse Services - resid</t>
  </si>
  <si>
    <t>Substance Abuse Services - Outpat</t>
  </si>
  <si>
    <t>AIDS Pharmaceutical Asst (local)</t>
  </si>
  <si>
    <t xml:space="preserve"># of   Clients </t>
  </si>
  <si>
    <t>Referral for Health Care/Supp Services</t>
  </si>
  <si>
    <t>Psychosoc Support Servs - Nutrition</t>
  </si>
  <si>
    <t>Case Management - Non-Medical</t>
  </si>
  <si>
    <t>Emergency Financial Assistance</t>
  </si>
  <si>
    <t xml:space="preserve">  EFA - Utilities</t>
  </si>
  <si>
    <t xml:space="preserve">  EFA - Food Vouchers</t>
  </si>
  <si>
    <t xml:space="preserve">  EFA - Housing</t>
  </si>
  <si>
    <t xml:space="preserve">  EFA - Housing (Rental Assistance)</t>
  </si>
  <si>
    <r>
      <t>AIDS Pharmaceutical Asst (local)</t>
    </r>
    <r>
      <rPr>
        <b/>
        <sz val="12"/>
        <color indexed="12"/>
        <rFont val="Arial"/>
        <family val="2"/>
      </rPr>
      <t/>
    </r>
  </si>
  <si>
    <t xml:space="preserve">Early Intervention Services </t>
  </si>
  <si>
    <t>Maryland</t>
  </si>
  <si>
    <t>B. Support Services</t>
  </si>
  <si>
    <t>EMA</t>
  </si>
  <si>
    <t>Total</t>
  </si>
  <si>
    <t>Total Target</t>
  </si>
  <si>
    <t xml:space="preserve"> Expenditure Per Client</t>
  </si>
  <si>
    <t>%</t>
  </si>
  <si>
    <t>*** Total Part A expenditure, regular and MAI, divided by the total number of Part A clients, by service category</t>
  </si>
  <si>
    <t>GY 25 Allocations - FLAT</t>
  </si>
  <si>
    <r>
      <t xml:space="preserve">GY 25 Allocations - FLAT PLUS 10% </t>
    </r>
    <r>
      <rPr>
        <sz val="12"/>
        <rFont val="Arial"/>
        <family val="2"/>
      </rPr>
      <t>- Based on adding 10% to flat funding for each service category</t>
    </r>
  </si>
  <si>
    <r>
      <t>GY 25 Allocations - FLAT MINUS 10%</t>
    </r>
    <r>
      <rPr>
        <sz val="12"/>
        <rFont val="Arial"/>
        <family val="2"/>
      </rPr>
      <t xml:space="preserve"> - Based on reducing 10% from flat funding for each service category</t>
    </r>
  </si>
  <si>
    <t>Maryland Jurisdictional Allocations Worksheet - GY 25 - Part A - FLAT FUNDING</t>
  </si>
  <si>
    <t>Maryland Jurisdictional Allocations Worksheet - GY 25 - Part A - 10% INCREASE</t>
  </si>
  <si>
    <t>Maryland Jurisdictional Allocations Worksheet - GY 25 - Part A - 10% DECREASE</t>
  </si>
  <si>
    <t>GY24 Priority</t>
  </si>
  <si>
    <t>GY 23 Expenditures*</t>
  </si>
  <si>
    <r>
      <t>*</t>
    </r>
    <r>
      <rPr>
        <i/>
        <vertAlign val="superscript"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- As reported by the Administrative Agent to FOAC in April 2014</t>
    </r>
  </si>
  <si>
    <t>TOTAL Part A + MAI GY23 Expenditures</t>
  </si>
  <si>
    <t>TOTAL Part A + MAI GY23 Clients</t>
  </si>
  <si>
    <t>Clients Served w/ Part A Funds, GY 23*</t>
  </si>
  <si>
    <t>Expenditure per client</t>
  </si>
  <si>
    <t>GY 24 Allocations**</t>
  </si>
  <si>
    <t>MD Expenditure Per Client, GY 23***</t>
  </si>
  <si>
    <r>
      <t xml:space="preserve">GY 25 Allocations - </t>
    </r>
    <r>
      <rPr>
        <b/>
        <sz val="12"/>
        <rFont val="Arial"/>
        <family val="2"/>
      </rPr>
      <t>FLAT</t>
    </r>
  </si>
  <si>
    <r>
      <t>GY 25 Allocations -</t>
    </r>
    <r>
      <rPr>
        <b/>
        <sz val="12"/>
        <rFont val="Arial"/>
        <family val="2"/>
      </rPr>
      <t>FLAT</t>
    </r>
  </si>
  <si>
    <t>** - GY24 Allocations for MD as of 6/18/2014</t>
  </si>
  <si>
    <r>
      <t xml:space="preserve">at +10% scenario - </t>
    </r>
    <r>
      <rPr>
        <b/>
        <i/>
        <sz val="12"/>
        <rFont val="Arial"/>
        <family val="2"/>
      </rPr>
      <t>ADD:</t>
    </r>
    <r>
      <rPr>
        <i/>
        <sz val="12"/>
        <rFont val="Arial"/>
        <family val="2"/>
      </rPr>
      <t xml:space="preserve"> Into MCM earmarked for peer support/assistant CM</t>
    </r>
  </si>
  <si>
    <t>Current Year Allocations</t>
  </si>
  <si>
    <t>Clients Served, Prior Year</t>
  </si>
  <si>
    <t xml:space="preserve">Midsize Metro RWHAP Part A Program - Allocation and Expenditures Spreadsheet - Flat Funding </t>
  </si>
  <si>
    <t>Cost per Client, Prior Year</t>
  </si>
  <si>
    <t>Proposed Allocations, Flat Funding</t>
  </si>
  <si>
    <t>Outpatient/Ambulatory Health Services</t>
  </si>
  <si>
    <t>EFA - Food</t>
  </si>
  <si>
    <t>Cost Per Client</t>
  </si>
  <si>
    <t>Minimum Required - 75%</t>
  </si>
  <si>
    <t>EFA - Utilities</t>
  </si>
  <si>
    <t>Emergency Financial Assistance:</t>
  </si>
  <si>
    <t>% of Funds Expended</t>
  </si>
  <si>
    <t>Oral Health Care*</t>
  </si>
  <si>
    <t>above the usual $1,000/client cap.</t>
  </si>
  <si>
    <t xml:space="preserve">* $43,250 reallocated  from Non-Medical Case Management to Oral Health Care during Rapid Allocations process and used to cover more costly dental services </t>
  </si>
  <si>
    <t>Prior Year Final Allocations [Includes Reallocations]</t>
  </si>
  <si>
    <t>Prior Year 
Expenditures</t>
  </si>
  <si>
    <t>Total Target, Flat Funding</t>
  </si>
  <si>
    <t>Midsize Metro</t>
  </si>
  <si>
    <t>Medical Transportation</t>
  </si>
  <si>
    <t>Housing</t>
  </si>
  <si>
    <t>AIDS Drug Assistance Program Treatments</t>
  </si>
  <si>
    <t>Local Pharmaceutical Assistance Program</t>
  </si>
  <si>
    <t>Substance Abuse Outpatient Care</t>
  </si>
  <si>
    <t>Non-Medical Case Management*</t>
  </si>
  <si>
    <t>Psychosocial Support Services</t>
  </si>
  <si>
    <t xml:space="preserve">Health Insurance Premium &amp; Cost Share Assistance </t>
  </si>
  <si>
    <t xml:space="preserve">Current Priority </t>
  </si>
  <si>
    <t xml:space="preserve">End of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</si>
</sst>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2"/>
      <name val="Arial"/>
      <family val="2"/>
    </font>
    <font>
      <i/>
      <vertAlign val="superscript"/>
      <sz val="12"/>
      <color indexed="8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9" fontId="5" fillId="0" borderId="0" xfId="3" applyNumberFormat="1" applyFont="1" applyFill="1" applyBorder="1"/>
    <xf numFmtId="9" fontId="5" fillId="0" borderId="0" xfId="3" applyFont="1" applyFill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3" fontId="5" fillId="0" borderId="0" xfId="0" applyNumberFormat="1" applyFont="1" applyFill="1" applyBorder="1"/>
    <xf numFmtId="10" fontId="5" fillId="0" borderId="0" xfId="0" applyNumberFormat="1" applyFont="1" applyFill="1" applyBorder="1"/>
    <xf numFmtId="0" fontId="6" fillId="0" borderId="0" xfId="0" applyFont="1" applyFill="1" applyBorder="1"/>
    <xf numFmtId="164" fontId="5" fillId="0" borderId="0" xfId="1" applyNumberFormat="1" applyFont="1" applyFill="1" applyBorder="1"/>
    <xf numFmtId="3" fontId="5" fillId="0" borderId="0" xfId="3" applyNumberFormat="1" applyFont="1" applyFill="1" applyBorder="1"/>
    <xf numFmtId="166" fontId="5" fillId="0" borderId="0" xfId="3" applyNumberFormat="1" applyFont="1" applyFill="1" applyBorder="1"/>
    <xf numFmtId="10" fontId="4" fillId="0" borderId="0" xfId="3" applyNumberFormat="1" applyFont="1" applyFill="1" applyBorder="1"/>
    <xf numFmtId="10" fontId="3" fillId="0" borderId="0" xfId="3" applyNumberFormat="1" applyFont="1" applyFill="1" applyBorder="1"/>
    <xf numFmtId="8" fontId="5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0" fontId="4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65" fontId="4" fillId="0" borderId="0" xfId="3" applyNumberFormat="1" applyFont="1" applyFill="1" applyBorder="1"/>
    <xf numFmtId="166" fontId="4" fillId="0" borderId="0" xfId="3" applyNumberFormat="1" applyFont="1" applyFill="1" applyBorder="1"/>
    <xf numFmtId="10" fontId="5" fillId="0" borderId="0" xfId="3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165" fontId="7" fillId="0" borderId="0" xfId="1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164" fontId="5" fillId="0" borderId="0" xfId="1" applyNumberFormat="1" applyFont="1" applyBorder="1"/>
    <xf numFmtId="164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3" fontId="4" fillId="0" borderId="0" xfId="3" applyNumberFormat="1" applyFont="1" applyFill="1" applyBorder="1"/>
    <xf numFmtId="0" fontId="4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textRotation="89" wrapText="1"/>
    </xf>
    <xf numFmtId="0" fontId="4" fillId="0" borderId="0" xfId="0" applyFont="1" applyFill="1" applyBorder="1" applyAlignment="1">
      <alignment horizontal="left"/>
    </xf>
    <xf numFmtId="164" fontId="4" fillId="0" borderId="0" xfId="1" applyNumberFormat="1" applyFont="1" applyFill="1" applyBorder="1"/>
    <xf numFmtId="167" fontId="5" fillId="0" borderId="0" xfId="2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64" fontId="7" fillId="0" borderId="0" xfId="1" applyNumberFormat="1" applyFont="1" applyFill="1" applyBorder="1"/>
    <xf numFmtId="10" fontId="12" fillId="0" borderId="0" xfId="1" applyNumberFormat="1" applyFont="1" applyFill="1" applyBorder="1"/>
    <xf numFmtId="8" fontId="9" fillId="0" borderId="0" xfId="0" applyNumberFormat="1" applyFont="1" applyFill="1" applyBorder="1"/>
    <xf numFmtId="9" fontId="9" fillId="0" borderId="0" xfId="3" applyNumberFormat="1" applyFont="1" applyFill="1" applyBorder="1"/>
    <xf numFmtId="0" fontId="9" fillId="0" borderId="0" xfId="0" applyFont="1" applyFill="1" applyBorder="1"/>
    <xf numFmtId="42" fontId="4" fillId="0" borderId="0" xfId="3" applyNumberFormat="1" applyFont="1" applyFill="1" applyBorder="1"/>
    <xf numFmtId="42" fontId="4" fillId="0" borderId="0" xfId="1" applyNumberFormat="1" applyFont="1" applyFill="1" applyBorder="1"/>
    <xf numFmtId="42" fontId="7" fillId="0" borderId="0" xfId="1" applyNumberFormat="1" applyFont="1" applyFill="1" applyBorder="1" applyAlignment="1">
      <alignment horizontal="right"/>
    </xf>
    <xf numFmtId="167" fontId="4" fillId="0" borderId="0" xfId="2" applyNumberFormat="1" applyFont="1" applyFill="1" applyBorder="1" applyAlignment="1">
      <alignment wrapText="1"/>
    </xf>
    <xf numFmtId="42" fontId="4" fillId="0" borderId="0" xfId="0" applyNumberFormat="1" applyFont="1" applyFill="1" applyBorder="1"/>
    <xf numFmtId="42" fontId="7" fillId="0" borderId="0" xfId="1" applyNumberFormat="1" applyFont="1" applyFill="1" applyBorder="1"/>
    <xf numFmtId="166" fontId="7" fillId="0" borderId="0" xfId="1" applyNumberFormat="1" applyFont="1" applyFill="1" applyBorder="1"/>
    <xf numFmtId="3" fontId="5" fillId="0" borderId="0" xfId="3" applyNumberFormat="1" applyFont="1" applyFill="1" applyBorder="1" applyAlignment="1">
      <alignment horizontal="right"/>
    </xf>
    <xf numFmtId="3" fontId="5" fillId="0" borderId="0" xfId="3" quotePrefix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3" fontId="5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/>
    <xf numFmtId="167" fontId="5" fillId="0" borderId="0" xfId="2" applyNumberFormat="1" applyFont="1" applyFill="1" applyBorder="1" applyAlignment="1"/>
    <xf numFmtId="167" fontId="5" fillId="0" borderId="0" xfId="2" applyNumberFormat="1" applyFont="1" applyFill="1" applyBorder="1"/>
    <xf numFmtId="167" fontId="9" fillId="0" borderId="0" xfId="2" applyNumberFormat="1" applyFont="1" applyFill="1" applyBorder="1" applyAlignment="1">
      <alignment wrapText="1"/>
    </xf>
    <xf numFmtId="43" fontId="7" fillId="0" borderId="0" xfId="0" applyNumberFormat="1" applyFont="1" applyFill="1" applyBorder="1"/>
    <xf numFmtId="166" fontId="4" fillId="0" borderId="0" xfId="1" applyNumberFormat="1" applyFont="1" applyFill="1" applyBorder="1"/>
    <xf numFmtId="167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9" fontId="4" fillId="0" borderId="0" xfId="3" applyFont="1" applyFill="1" applyBorder="1"/>
    <xf numFmtId="164" fontId="7" fillId="0" borderId="0" xfId="0" applyNumberFormat="1" applyFont="1" applyFill="1" applyBorder="1" applyAlignment="1">
      <alignment horizontal="right" wrapText="1"/>
    </xf>
    <xf numFmtId="9" fontId="7" fillId="0" borderId="0" xfId="3" applyFont="1" applyFill="1" applyBorder="1"/>
    <xf numFmtId="0" fontId="5" fillId="0" borderId="0" xfId="3" applyNumberFormat="1" applyFont="1" applyFill="1" applyBorder="1"/>
    <xf numFmtId="0" fontId="12" fillId="0" borderId="0" xfId="0" applyFont="1" applyFill="1" applyBorder="1"/>
    <xf numFmtId="42" fontId="5" fillId="0" borderId="0" xfId="3" applyNumberFormat="1" applyFont="1" applyFill="1" applyBorder="1"/>
    <xf numFmtId="165" fontId="5" fillId="0" borderId="0" xfId="0" applyNumberFormat="1" applyFont="1" applyFill="1" applyBorder="1"/>
    <xf numFmtId="165" fontId="5" fillId="0" borderId="0" xfId="3" applyNumberFormat="1" applyFont="1" applyFill="1" applyBorder="1"/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/>
    <xf numFmtId="42" fontId="9" fillId="0" borderId="0" xfId="3" applyNumberFormat="1" applyFont="1" applyFill="1" applyBorder="1"/>
    <xf numFmtId="165" fontId="9" fillId="0" borderId="0" xfId="3" applyNumberFormat="1" applyFont="1" applyFill="1" applyBorder="1"/>
    <xf numFmtId="167" fontId="9" fillId="0" borderId="0" xfId="0" applyNumberFormat="1" applyFont="1" applyFill="1" applyBorder="1" applyAlignment="1">
      <alignment horizontal="right" wrapText="1"/>
    </xf>
    <xf numFmtId="166" fontId="9" fillId="0" borderId="0" xfId="3" applyNumberFormat="1" applyFont="1" applyFill="1" applyBorder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quotePrefix="1" applyFont="1" applyFill="1" applyBorder="1"/>
    <xf numFmtId="2" fontId="15" fillId="0" borderId="0" xfId="0" applyNumberFormat="1" applyFont="1" applyFill="1" applyBorder="1"/>
    <xf numFmtId="3" fontId="15" fillId="0" borderId="0" xfId="0" applyNumberFormat="1" applyFont="1" applyFill="1" applyBorder="1"/>
    <xf numFmtId="9" fontId="5" fillId="0" borderId="0" xfId="3" applyNumberFormat="1" applyFont="1" applyFill="1" applyBorder="1" applyAlignment="1">
      <alignment wrapText="1"/>
    </xf>
    <xf numFmtId="167" fontId="4" fillId="0" borderId="0" xfId="3" applyNumberFormat="1" applyFont="1" applyFill="1" applyBorder="1"/>
    <xf numFmtId="167" fontId="14" fillId="0" borderId="0" xfId="0" applyNumberFormat="1" applyFont="1" applyFill="1" applyAlignment="1"/>
    <xf numFmtId="167" fontId="5" fillId="0" borderId="0" xfId="0" applyNumberFormat="1" applyFont="1" applyFill="1" applyBorder="1"/>
    <xf numFmtId="167" fontId="0" fillId="0" borderId="0" xfId="0" applyNumberFormat="1" applyFill="1" applyAlignment="1"/>
    <xf numFmtId="44" fontId="4" fillId="0" borderId="0" xfId="2" applyFont="1" applyFill="1" applyBorder="1"/>
    <xf numFmtId="3" fontId="0" fillId="0" borderId="0" xfId="0" applyNumberFormat="1" applyFill="1" applyAlignment="1"/>
    <xf numFmtId="44" fontId="5" fillId="0" borderId="0" xfId="0" applyNumberFormat="1" applyFont="1" applyFill="1" applyBorder="1"/>
    <xf numFmtId="9" fontId="5" fillId="0" borderId="0" xfId="3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7" fontId="9" fillId="0" borderId="0" xfId="0" applyNumberFormat="1" applyFont="1" applyFill="1" applyBorder="1"/>
    <xf numFmtId="164" fontId="15" fillId="0" borderId="0" xfId="1" applyNumberFormat="1" applyFont="1" applyFill="1" applyBorder="1"/>
    <xf numFmtId="10" fontId="15" fillId="0" borderId="0" xfId="3" applyNumberFormat="1" applyFont="1" applyFill="1" applyBorder="1"/>
    <xf numFmtId="167" fontId="4" fillId="0" borderId="0" xfId="2" applyNumberFormat="1" applyFont="1" applyFill="1" applyBorder="1"/>
    <xf numFmtId="0" fontId="14" fillId="0" borderId="0" xfId="0" applyFont="1" applyFill="1" applyAlignment="1"/>
    <xf numFmtId="0" fontId="7" fillId="0" borderId="0" xfId="0" applyFont="1" applyBorder="1" applyAlignment="1">
      <alignment horizontal="left" wrapText="1"/>
    </xf>
    <xf numFmtId="3" fontId="7" fillId="0" borderId="0" xfId="1" applyNumberFormat="1" applyFont="1" applyFill="1" applyBorder="1"/>
    <xf numFmtId="0" fontId="7" fillId="0" borderId="0" xfId="0" applyFont="1" applyBorder="1"/>
    <xf numFmtId="10" fontId="5" fillId="0" borderId="0" xfId="3" applyNumberFormat="1" applyFont="1" applyFill="1" applyBorder="1" applyAlignment="1"/>
    <xf numFmtId="10" fontId="5" fillId="0" borderId="0" xfId="3" applyNumberFormat="1" applyFont="1" applyFill="1" applyBorder="1" applyAlignment="1">
      <alignment wrapText="1"/>
    </xf>
    <xf numFmtId="10" fontId="7" fillId="0" borderId="0" xfId="1" applyNumberFormat="1" applyFont="1" applyFill="1" applyBorder="1"/>
    <xf numFmtId="10" fontId="9" fillId="0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 wrapText="1"/>
    </xf>
    <xf numFmtId="10" fontId="9" fillId="0" borderId="0" xfId="3" applyNumberFormat="1" applyFont="1" applyFill="1" applyBorder="1"/>
    <xf numFmtId="10" fontId="5" fillId="0" borderId="0" xfId="1" applyNumberFormat="1" applyFont="1" applyFill="1" applyBorder="1"/>
    <xf numFmtId="10" fontId="7" fillId="0" borderId="0" xfId="3" applyNumberFormat="1" applyFont="1" applyFill="1" applyBorder="1"/>
    <xf numFmtId="10" fontId="7" fillId="0" borderId="0" xfId="1" applyNumberFormat="1" applyFont="1" applyFill="1" applyBorder="1" applyAlignment="1">
      <alignment horizontal="right"/>
    </xf>
    <xf numFmtId="10" fontId="4" fillId="0" borderId="0" xfId="0" applyNumberFormat="1" applyFont="1" applyFill="1" applyBorder="1"/>
    <xf numFmtId="10" fontId="5" fillId="0" borderId="0" xfId="2" applyNumberFormat="1" applyFont="1" applyFill="1" applyBorder="1" applyAlignment="1">
      <alignment wrapText="1"/>
    </xf>
    <xf numFmtId="10" fontId="4" fillId="0" borderId="0" xfId="2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10" fontId="9" fillId="0" borderId="0" xfId="1" applyNumberFormat="1" applyFont="1" applyFill="1" applyBorder="1"/>
    <xf numFmtId="164" fontId="9" fillId="0" borderId="0" xfId="1" applyNumberFormat="1" applyFont="1" applyFill="1" applyBorder="1"/>
    <xf numFmtId="3" fontId="9" fillId="0" borderId="0" xfId="1" applyNumberFormat="1" applyFont="1" applyFill="1" applyBorder="1"/>
    <xf numFmtId="166" fontId="9" fillId="0" borderId="0" xfId="1" applyNumberFormat="1" applyFont="1" applyFill="1" applyBorder="1"/>
    <xf numFmtId="42" fontId="9" fillId="0" borderId="0" xfId="1" applyNumberFormat="1" applyFont="1" applyFill="1" applyBorder="1" applyAlignment="1">
      <alignment horizontal="right"/>
    </xf>
    <xf numFmtId="42" fontId="16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42" fontId="5" fillId="0" borderId="0" xfId="2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/>
    <xf numFmtId="5" fontId="4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textRotation="89" wrapText="1" readingOrder="1"/>
    </xf>
    <xf numFmtId="164" fontId="5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10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view="pageBreakPreview" topLeftCell="A10" zoomScale="75" zoomScaleNormal="68" zoomScaleSheetLayoutView="75" workbookViewId="0">
      <selection activeCell="N5" sqref="N5"/>
    </sheetView>
  </sheetViews>
  <sheetFormatPr defaultRowHeight="15.75" x14ac:dyDescent="0.25"/>
  <cols>
    <col min="1" max="1" width="6.7109375" style="28" customWidth="1"/>
    <col min="2" max="2" width="43.140625" style="2" bestFit="1" customWidth="1"/>
    <col min="3" max="3" width="15.42578125" style="2" customWidth="1"/>
    <col min="4" max="4" width="10.5703125" style="2" bestFit="1" customWidth="1"/>
    <col min="5" max="5" width="14.28515625" style="2" customWidth="1"/>
    <col min="6" max="6" width="10.5703125" style="2" bestFit="1" customWidth="1"/>
    <col min="7" max="7" width="13" style="2" customWidth="1"/>
    <col min="8" max="8" width="14.7109375" style="2" customWidth="1"/>
    <col min="9" max="9" width="15.85546875" style="2" customWidth="1"/>
    <col min="10" max="10" width="12.140625" style="2" customWidth="1"/>
    <col min="11" max="11" width="9" style="2" customWidth="1"/>
    <col min="12" max="12" width="12.5703125" style="2" customWidth="1"/>
    <col min="13" max="13" width="42.5703125" style="3" bestFit="1" customWidth="1"/>
    <col min="14" max="14" width="15.5703125" style="73" bestFit="1" customWidth="1"/>
    <col min="15" max="15" width="12.5703125" style="10" bestFit="1" customWidth="1"/>
    <col min="16" max="17" width="14.5703125" style="2" bestFit="1" customWidth="1"/>
    <col min="18" max="21" width="9.140625" style="2"/>
    <col min="22" max="22" width="13.140625" style="2" bestFit="1" customWidth="1"/>
    <col min="23" max="16384" width="9.140625" style="2"/>
  </cols>
  <sheetData>
    <row r="1" spans="1:22" ht="18" x14ac:dyDescent="0.25">
      <c r="A1" s="144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"/>
    </row>
    <row r="2" spans="1:22" ht="78.75" x14ac:dyDescent="0.25">
      <c r="A2" s="5"/>
      <c r="B2" s="6" t="s">
        <v>43</v>
      </c>
      <c r="C2" s="151" t="s">
        <v>58</v>
      </c>
      <c r="D2" s="151"/>
      <c r="E2" s="146" t="s">
        <v>64</v>
      </c>
      <c r="F2" s="147"/>
      <c r="G2" s="6" t="s">
        <v>62</v>
      </c>
      <c r="H2" s="6" t="s">
        <v>65</v>
      </c>
      <c r="I2" s="148" t="s">
        <v>51</v>
      </c>
      <c r="J2" s="148"/>
      <c r="K2" s="1"/>
      <c r="M2" s="102" t="s">
        <v>60</v>
      </c>
      <c r="R2" s="94" t="s">
        <v>61</v>
      </c>
      <c r="V2" s="103" t="s">
        <v>63</v>
      </c>
    </row>
    <row r="3" spans="1:22" ht="65.25" customHeight="1" x14ac:dyDescent="0.25">
      <c r="A3" s="41" t="s">
        <v>57</v>
      </c>
      <c r="B3" s="6" t="s">
        <v>13</v>
      </c>
      <c r="C3" s="6" t="s">
        <v>2</v>
      </c>
      <c r="D3" s="6" t="s">
        <v>49</v>
      </c>
      <c r="E3" s="6" t="s">
        <v>2</v>
      </c>
      <c r="F3" s="6" t="s">
        <v>49</v>
      </c>
      <c r="G3" s="6" t="s">
        <v>32</v>
      </c>
      <c r="H3" s="6" t="s">
        <v>48</v>
      </c>
      <c r="I3" s="6" t="s">
        <v>2</v>
      </c>
      <c r="J3" s="6" t="s">
        <v>49</v>
      </c>
      <c r="K3" s="8"/>
      <c r="L3" s="9"/>
      <c r="M3" s="9"/>
      <c r="N3" s="9"/>
    </row>
    <row r="4" spans="1:22" x14ac:dyDescent="0.25">
      <c r="A4" s="10"/>
      <c r="B4" s="7" t="s">
        <v>4</v>
      </c>
      <c r="C4" s="7"/>
      <c r="D4" s="7"/>
      <c r="I4" s="11"/>
      <c r="J4" s="12"/>
      <c r="M4" s="7" t="s">
        <v>4</v>
      </c>
      <c r="N4" s="7"/>
    </row>
    <row r="5" spans="1:22" x14ac:dyDescent="0.25">
      <c r="A5" s="89">
        <v>1</v>
      </c>
      <c r="B5" s="13" t="s">
        <v>21</v>
      </c>
      <c r="C5" s="66">
        <f>2545097</f>
        <v>2545097</v>
      </c>
      <c r="D5" s="112">
        <f>C5/C44</f>
        <v>0.42771892828645353</v>
      </c>
      <c r="E5" s="14">
        <f>2518037</f>
        <v>2518037</v>
      </c>
      <c r="F5" s="26">
        <f>E5/E44</f>
        <v>0.39986009866140937</v>
      </c>
      <c r="G5" s="15">
        <v>1478</v>
      </c>
      <c r="H5" s="101">
        <v>1702.3465220165922</v>
      </c>
      <c r="I5" s="54">
        <f t="shared" ref="I5:I17" si="0">E5</f>
        <v>2518037</v>
      </c>
      <c r="J5" s="17">
        <f>I5/I44</f>
        <v>0.39986009866140937</v>
      </c>
      <c r="K5" s="18"/>
      <c r="L5" s="19"/>
      <c r="M5" s="13" t="s">
        <v>21</v>
      </c>
      <c r="N5" s="14">
        <f>2518037</f>
        <v>2518037</v>
      </c>
      <c r="O5" s="14">
        <v>149540</v>
      </c>
      <c r="P5" s="97">
        <f>N5+O5</f>
        <v>2667577</v>
      </c>
      <c r="R5" s="15">
        <v>1478</v>
      </c>
      <c r="S5" s="15">
        <f>89</f>
        <v>89</v>
      </c>
      <c r="T5" s="11">
        <f>R5+S5</f>
        <v>1567</v>
      </c>
      <c r="U5" s="11"/>
      <c r="V5" s="101">
        <f>P5/T5</f>
        <v>1702.3465220165922</v>
      </c>
    </row>
    <row r="6" spans="1:22" x14ac:dyDescent="0.25">
      <c r="A6" s="89">
        <v>2</v>
      </c>
      <c r="B6" s="20" t="s">
        <v>19</v>
      </c>
      <c r="C6" s="66"/>
      <c r="D6" s="112">
        <f>C6/C44</f>
        <v>0</v>
      </c>
      <c r="E6" s="14"/>
      <c r="F6" s="26">
        <f>E6/E44</f>
        <v>0</v>
      </c>
      <c r="G6" s="61"/>
      <c r="H6" s="97"/>
      <c r="I6" s="54">
        <f t="shared" si="0"/>
        <v>0</v>
      </c>
      <c r="J6" s="21">
        <f>I6/I44</f>
        <v>0</v>
      </c>
      <c r="K6" s="17"/>
      <c r="L6" s="19"/>
      <c r="M6" s="20" t="s">
        <v>19</v>
      </c>
      <c r="N6" s="14"/>
      <c r="O6" s="14"/>
      <c r="P6" s="97">
        <f t="shared" ref="P6:P17" si="1">N6+O6</f>
        <v>0</v>
      </c>
      <c r="R6" s="61"/>
      <c r="S6" s="61"/>
      <c r="T6" s="11">
        <f t="shared" ref="T6:T17" si="2">R6+S6</f>
        <v>0</v>
      </c>
      <c r="U6" s="11"/>
      <c r="V6" s="97"/>
    </row>
    <row r="7" spans="1:22" x14ac:dyDescent="0.25">
      <c r="A7" s="89">
        <f>4</f>
        <v>4</v>
      </c>
      <c r="B7" s="22" t="s">
        <v>20</v>
      </c>
      <c r="C7" s="66">
        <f>764391</f>
        <v>764391</v>
      </c>
      <c r="D7" s="112">
        <f>C7/C44</f>
        <v>0.12846052598852245</v>
      </c>
      <c r="E7" s="14">
        <f>765987</f>
        <v>765987</v>
      </c>
      <c r="F7" s="26">
        <f>E7/E44</f>
        <v>0.12163746497504087</v>
      </c>
      <c r="G7" s="15">
        <f>741</f>
        <v>741</v>
      </c>
      <c r="H7" s="97">
        <v>1057.0303413400759</v>
      </c>
      <c r="I7" s="54">
        <f t="shared" si="0"/>
        <v>765987</v>
      </c>
      <c r="J7" s="17">
        <f>I7/I44</f>
        <v>0.12163746497504087</v>
      </c>
      <c r="K7" s="17"/>
      <c r="L7" s="19"/>
      <c r="M7" s="22" t="s">
        <v>20</v>
      </c>
      <c r="N7" s="14">
        <f>765987</f>
        <v>765987</v>
      </c>
      <c r="O7" s="14">
        <v>70124</v>
      </c>
      <c r="P7" s="97">
        <f t="shared" si="1"/>
        <v>836111</v>
      </c>
      <c r="R7" s="15">
        <f>741</f>
        <v>741</v>
      </c>
      <c r="S7" s="15">
        <f>50</f>
        <v>50</v>
      </c>
      <c r="T7" s="11">
        <f t="shared" si="2"/>
        <v>791</v>
      </c>
      <c r="U7" s="11"/>
      <c r="V7" s="97">
        <f t="shared" ref="V7:V14" si="3">P7/T7</f>
        <v>1057.0303413400759</v>
      </c>
    </row>
    <row r="8" spans="1:22" x14ac:dyDescent="0.25">
      <c r="A8" s="89">
        <f>3</f>
        <v>3</v>
      </c>
      <c r="B8" s="2" t="s">
        <v>5</v>
      </c>
      <c r="C8" s="44">
        <f>1213922</f>
        <v>1213922</v>
      </c>
      <c r="D8" s="113">
        <f>C8/C44</f>
        <v>0.20400692659782643</v>
      </c>
      <c r="E8" s="14">
        <f>1321259</f>
        <v>1321259</v>
      </c>
      <c r="F8" s="26">
        <f>E8/E44</f>
        <v>0.20981373748569823</v>
      </c>
      <c r="G8" s="15">
        <f>1604</f>
        <v>1604</v>
      </c>
      <c r="H8" s="97">
        <v>899.2580831408776</v>
      </c>
      <c r="I8" s="54">
        <f t="shared" si="0"/>
        <v>1321259</v>
      </c>
      <c r="J8" s="17">
        <f>I8/I44</f>
        <v>0.20981373748569823</v>
      </c>
      <c r="K8" s="17"/>
      <c r="L8" s="19"/>
      <c r="M8" s="2" t="s">
        <v>5</v>
      </c>
      <c r="N8" s="14">
        <f>1321259</f>
        <v>1321259</v>
      </c>
      <c r="O8" s="14">
        <v>236256</v>
      </c>
      <c r="P8" s="97">
        <f t="shared" si="1"/>
        <v>1557515</v>
      </c>
      <c r="R8" s="15">
        <f>1604</f>
        <v>1604</v>
      </c>
      <c r="S8" s="15">
        <f>128</f>
        <v>128</v>
      </c>
      <c r="T8" s="11">
        <f t="shared" si="2"/>
        <v>1732</v>
      </c>
      <c r="U8" s="11"/>
      <c r="V8" s="97">
        <f t="shared" si="3"/>
        <v>899.2580831408776</v>
      </c>
    </row>
    <row r="9" spans="1:22" x14ac:dyDescent="0.25">
      <c r="A9" s="89">
        <f>7</f>
        <v>7</v>
      </c>
      <c r="B9" s="13" t="s">
        <v>41</v>
      </c>
      <c r="C9" s="44">
        <f>79926</f>
        <v>79926</v>
      </c>
      <c r="D9" s="113">
        <f>C9/C44</f>
        <v>1.3432047211647763E-2</v>
      </c>
      <c r="E9" s="14">
        <f>104153</f>
        <v>104153</v>
      </c>
      <c r="F9" s="26">
        <f>E9/E44</f>
        <v>1.653932363022536E-2</v>
      </c>
      <c r="G9" s="15">
        <f>98</f>
        <v>98</v>
      </c>
      <c r="H9" s="97">
        <v>1062.7857142857142</v>
      </c>
      <c r="I9" s="54">
        <f t="shared" si="0"/>
        <v>104153</v>
      </c>
      <c r="J9" s="17">
        <f>I9/I44</f>
        <v>1.653932363022536E-2</v>
      </c>
      <c r="K9" s="17"/>
      <c r="L9" s="19"/>
      <c r="M9" s="13" t="s">
        <v>41</v>
      </c>
      <c r="N9" s="14">
        <f>104153</f>
        <v>104153</v>
      </c>
      <c r="O9" s="14"/>
      <c r="P9" s="97">
        <f t="shared" si="1"/>
        <v>104153</v>
      </c>
      <c r="R9" s="15">
        <f>98</f>
        <v>98</v>
      </c>
      <c r="S9" s="15"/>
      <c r="T9" s="11">
        <f t="shared" si="2"/>
        <v>98</v>
      </c>
      <c r="U9" s="11"/>
      <c r="V9" s="97">
        <f t="shared" si="3"/>
        <v>1062.7857142857142</v>
      </c>
    </row>
    <row r="10" spans="1:22" x14ac:dyDescent="0.25">
      <c r="A10" s="89">
        <f>5</f>
        <v>5</v>
      </c>
      <c r="B10" s="13" t="s">
        <v>0</v>
      </c>
      <c r="C10" s="44">
        <f>259221</f>
        <v>259221</v>
      </c>
      <c r="D10" s="113">
        <f>C10/C44</f>
        <v>4.356365525924661E-2</v>
      </c>
      <c r="E10" s="14">
        <f>344700</f>
        <v>344700</v>
      </c>
      <c r="F10" s="26">
        <f>E10/E44</f>
        <v>5.4737788209064366E-2</v>
      </c>
      <c r="G10" s="15">
        <f>275</f>
        <v>275</v>
      </c>
      <c r="H10" s="97">
        <v>1340.0066225165563</v>
      </c>
      <c r="I10" s="54">
        <f t="shared" si="0"/>
        <v>344700</v>
      </c>
      <c r="J10" s="21">
        <f>I10/I44</f>
        <v>5.4737788209064366E-2</v>
      </c>
      <c r="K10" s="17"/>
      <c r="L10" s="19"/>
      <c r="M10" s="13" t="s">
        <v>0</v>
      </c>
      <c r="N10" s="14">
        <f>344700</f>
        <v>344700</v>
      </c>
      <c r="O10" s="14">
        <v>59982</v>
      </c>
      <c r="P10" s="97">
        <f t="shared" si="1"/>
        <v>404682</v>
      </c>
      <c r="R10" s="15">
        <f>275</f>
        <v>275</v>
      </c>
      <c r="S10" s="15">
        <f>27</f>
        <v>27</v>
      </c>
      <c r="T10" s="11">
        <f t="shared" si="2"/>
        <v>302</v>
      </c>
      <c r="U10" s="11"/>
      <c r="V10" s="97">
        <f t="shared" si="3"/>
        <v>1340.0066225165563</v>
      </c>
    </row>
    <row r="11" spans="1:22" x14ac:dyDescent="0.25">
      <c r="A11" s="89">
        <v>6</v>
      </c>
      <c r="B11" s="13" t="s">
        <v>30</v>
      </c>
      <c r="C11" s="44">
        <f>127387</f>
        <v>127387</v>
      </c>
      <c r="D11" s="113">
        <f>C11/C44</f>
        <v>2.1408155020270919E-2</v>
      </c>
      <c r="E11" s="14">
        <f>171437</f>
        <v>171437</v>
      </c>
      <c r="F11" s="26">
        <f>E11/E44</f>
        <v>2.7223911219023407E-2</v>
      </c>
      <c r="G11" s="62">
        <f>123</f>
        <v>123</v>
      </c>
      <c r="H11" s="97">
        <v>1393.7967479674796</v>
      </c>
      <c r="I11" s="54">
        <f t="shared" si="0"/>
        <v>171437</v>
      </c>
      <c r="J11" s="21">
        <f>I11/I44</f>
        <v>2.7223911219023407E-2</v>
      </c>
      <c r="K11" s="17"/>
      <c r="L11" s="19"/>
      <c r="M11" s="13" t="s">
        <v>30</v>
      </c>
      <c r="N11" s="14">
        <f>171437</f>
        <v>171437</v>
      </c>
      <c r="O11" s="14"/>
      <c r="P11" s="97">
        <f t="shared" si="1"/>
        <v>171437</v>
      </c>
      <c r="R11" s="62">
        <f>123</f>
        <v>123</v>
      </c>
      <c r="S11" s="62"/>
      <c r="T11" s="11">
        <f t="shared" si="2"/>
        <v>123</v>
      </c>
      <c r="U11" s="11"/>
      <c r="V11" s="97">
        <f t="shared" si="3"/>
        <v>1393.7967479674796</v>
      </c>
    </row>
    <row r="12" spans="1:22" x14ac:dyDescent="0.25">
      <c r="A12" s="89">
        <f>14</f>
        <v>14</v>
      </c>
      <c r="B12" s="13" t="s">
        <v>22</v>
      </c>
      <c r="C12" s="66">
        <f>214285</f>
        <v>214285</v>
      </c>
      <c r="D12" s="112">
        <f>C12/C44</f>
        <v>3.6011888956634146E-2</v>
      </c>
      <c r="E12" s="14">
        <f>194348</f>
        <v>194348</v>
      </c>
      <c r="F12" s="26">
        <f>E12/E44</f>
        <v>3.0862140014085413E-2</v>
      </c>
      <c r="G12" s="15">
        <f>415</f>
        <v>415</v>
      </c>
      <c r="H12" s="97">
        <v>468.30843373493974</v>
      </c>
      <c r="I12" s="54">
        <f t="shared" si="0"/>
        <v>194348</v>
      </c>
      <c r="J12" s="21">
        <f>I12/I44</f>
        <v>3.0862140014085413E-2</v>
      </c>
      <c r="K12" s="17"/>
      <c r="M12" s="13" t="s">
        <v>22</v>
      </c>
      <c r="N12" s="14">
        <f>194348</f>
        <v>194348</v>
      </c>
      <c r="O12" s="14"/>
      <c r="P12" s="97">
        <f t="shared" si="1"/>
        <v>194348</v>
      </c>
      <c r="R12" s="15">
        <f>415</f>
        <v>415</v>
      </c>
      <c r="S12" s="15"/>
      <c r="T12" s="11">
        <f t="shared" si="2"/>
        <v>415</v>
      </c>
      <c r="U12" s="11"/>
      <c r="V12" s="97">
        <f t="shared" si="3"/>
        <v>468.30843373493974</v>
      </c>
    </row>
    <row r="13" spans="1:22" x14ac:dyDescent="0.25">
      <c r="A13" s="89">
        <v>9</v>
      </c>
      <c r="B13" s="13" t="s">
        <v>42</v>
      </c>
      <c r="C13" s="66"/>
      <c r="D13" s="112">
        <f>C13/C44</f>
        <v>0</v>
      </c>
      <c r="E13" s="14">
        <f>96096</f>
        <v>96096</v>
      </c>
      <c r="F13" s="26">
        <f>E13/E44</f>
        <v>1.5259885395237162E-2</v>
      </c>
      <c r="G13" s="15"/>
      <c r="H13" s="97"/>
      <c r="I13" s="54">
        <f t="shared" si="0"/>
        <v>96096</v>
      </c>
      <c r="J13" s="21">
        <f>I13/I44</f>
        <v>1.5259885395237162E-2</v>
      </c>
      <c r="K13" s="17"/>
      <c r="L13" s="4"/>
      <c r="M13" s="13" t="s">
        <v>42</v>
      </c>
      <c r="N13" s="14">
        <f>96096</f>
        <v>96096</v>
      </c>
      <c r="O13" s="14">
        <v>51917</v>
      </c>
      <c r="P13" s="97">
        <f t="shared" si="1"/>
        <v>148013</v>
      </c>
      <c r="R13" s="15"/>
      <c r="S13" s="15"/>
      <c r="T13" s="11">
        <f t="shared" si="2"/>
        <v>0</v>
      </c>
      <c r="U13" s="11"/>
      <c r="V13" s="97"/>
    </row>
    <row r="14" spans="1:22" x14ac:dyDescent="0.25">
      <c r="A14" s="89">
        <v>12</v>
      </c>
      <c r="B14" s="13" t="s">
        <v>23</v>
      </c>
      <c r="C14" s="66">
        <f>1922</f>
        <v>1922</v>
      </c>
      <c r="D14" s="112">
        <f>C14/C44</f>
        <v>3.2300371269407952E-4</v>
      </c>
      <c r="E14" s="14">
        <f>5512</f>
        <v>5512</v>
      </c>
      <c r="F14" s="26">
        <f>E14/E44</f>
        <v>8.7529645665321385E-4</v>
      </c>
      <c r="G14" s="15">
        <f>20</f>
        <v>20</v>
      </c>
      <c r="H14" s="97">
        <v>275.60000000000002</v>
      </c>
      <c r="I14" s="54">
        <f t="shared" si="0"/>
        <v>5512</v>
      </c>
      <c r="J14" s="17">
        <f>I14/I44</f>
        <v>8.7529645665321385E-4</v>
      </c>
      <c r="K14" s="17"/>
      <c r="L14" s="4"/>
      <c r="M14" s="13" t="s">
        <v>23</v>
      </c>
      <c r="N14" s="14">
        <f>5512</f>
        <v>5512</v>
      </c>
      <c r="O14" s="14"/>
      <c r="P14" s="97">
        <f t="shared" si="1"/>
        <v>5512</v>
      </c>
      <c r="R14" s="15">
        <f>20</f>
        <v>20</v>
      </c>
      <c r="S14" s="15"/>
      <c r="T14" s="11">
        <f t="shared" si="2"/>
        <v>20</v>
      </c>
      <c r="U14" s="11"/>
      <c r="V14" s="97">
        <f t="shared" si="3"/>
        <v>275.60000000000002</v>
      </c>
    </row>
    <row r="15" spans="1:22" x14ac:dyDescent="0.25">
      <c r="A15" s="89">
        <v>21</v>
      </c>
      <c r="B15" s="13" t="s">
        <v>7</v>
      </c>
      <c r="C15" s="67"/>
      <c r="D15" s="26">
        <f>C15/C44</f>
        <v>0</v>
      </c>
      <c r="E15" s="14"/>
      <c r="F15" s="26">
        <f>E15/E44</f>
        <v>0</v>
      </c>
      <c r="G15" s="61"/>
      <c r="H15" s="97"/>
      <c r="I15" s="54">
        <f t="shared" si="0"/>
        <v>0</v>
      </c>
      <c r="J15" s="21">
        <f>I15/I44</f>
        <v>0</v>
      </c>
      <c r="K15" s="17"/>
      <c r="L15" s="4"/>
      <c r="M15" s="13" t="s">
        <v>7</v>
      </c>
      <c r="N15" s="107"/>
      <c r="O15" s="14"/>
      <c r="P15" s="97">
        <f t="shared" si="1"/>
        <v>0</v>
      </c>
      <c r="R15" s="61"/>
      <c r="S15" s="61"/>
      <c r="T15" s="11">
        <f t="shared" si="2"/>
        <v>0</v>
      </c>
      <c r="U15" s="11"/>
      <c r="V15" s="97"/>
    </row>
    <row r="16" spans="1:22" x14ac:dyDescent="0.25">
      <c r="A16" s="89">
        <f>26</f>
        <v>26</v>
      </c>
      <c r="B16" s="23" t="s">
        <v>8</v>
      </c>
      <c r="C16" s="67"/>
      <c r="D16" s="26">
        <f>C16/C44</f>
        <v>0</v>
      </c>
      <c r="E16" s="14"/>
      <c r="F16" s="26">
        <f>E16/E44</f>
        <v>0</v>
      </c>
      <c r="G16" s="61"/>
      <c r="H16" s="97"/>
      <c r="I16" s="54">
        <f t="shared" si="0"/>
        <v>0</v>
      </c>
      <c r="J16" s="21">
        <f>I16/I44</f>
        <v>0</v>
      </c>
      <c r="K16" s="17"/>
      <c r="L16" s="4"/>
      <c r="M16" s="23" t="s">
        <v>8</v>
      </c>
      <c r="N16" s="107"/>
      <c r="O16" s="14"/>
      <c r="P16" s="97">
        <f t="shared" si="1"/>
        <v>0</v>
      </c>
      <c r="R16" s="61"/>
      <c r="S16" s="61"/>
      <c r="T16" s="11">
        <f t="shared" si="2"/>
        <v>0</v>
      </c>
      <c r="U16" s="11"/>
      <c r="V16" s="97"/>
    </row>
    <row r="17" spans="1:22" x14ac:dyDescent="0.25">
      <c r="A17" s="89">
        <v>20</v>
      </c>
      <c r="B17" s="13" t="s">
        <v>24</v>
      </c>
      <c r="C17" s="67"/>
      <c r="D17" s="26">
        <f>C17/C44</f>
        <v>0</v>
      </c>
      <c r="E17" s="14"/>
      <c r="F17" s="26">
        <f>E17/E44</f>
        <v>0</v>
      </c>
      <c r="G17" s="61"/>
      <c r="H17" s="76"/>
      <c r="I17" s="54">
        <f t="shared" si="0"/>
        <v>0</v>
      </c>
      <c r="J17" s="17">
        <f>I17/I44</f>
        <v>0</v>
      </c>
      <c r="K17" s="17"/>
      <c r="L17" s="4"/>
      <c r="M17" s="13" t="s">
        <v>24</v>
      </c>
      <c r="N17" s="107"/>
      <c r="O17" s="14"/>
      <c r="P17" s="97">
        <f t="shared" si="1"/>
        <v>0</v>
      </c>
      <c r="R17" s="61"/>
      <c r="S17" s="61"/>
      <c r="T17" s="11">
        <f t="shared" si="2"/>
        <v>0</v>
      </c>
      <c r="U17" s="11"/>
      <c r="V17" s="97"/>
    </row>
    <row r="18" spans="1:22" x14ac:dyDescent="0.25">
      <c r="A18" s="10"/>
      <c r="B18" s="29" t="s">
        <v>1</v>
      </c>
      <c r="C18" s="43">
        <f>SUM(C5:C17)</f>
        <v>5206151</v>
      </c>
      <c r="D18" s="17">
        <f>C18/C44</f>
        <v>0.87492513103329594</v>
      </c>
      <c r="E18" s="43">
        <f>SUM(E5:E17)</f>
        <v>5521529</v>
      </c>
      <c r="F18" s="17">
        <f>E18/E44</f>
        <v>0.87680964604643741</v>
      </c>
      <c r="G18" s="38"/>
      <c r="H18" s="25"/>
      <c r="I18" s="55">
        <f>SUM(I5:I17)</f>
        <v>5521529</v>
      </c>
      <c r="J18" s="17">
        <f>I18/I44</f>
        <v>0.87680964604643741</v>
      </c>
      <c r="K18" s="21"/>
      <c r="L18" s="19"/>
      <c r="M18" s="29" t="s">
        <v>1</v>
      </c>
      <c r="N18" s="95">
        <f>SUM(N5:N17)</f>
        <v>5521529</v>
      </c>
      <c r="O18" s="95">
        <f>SUM(O5:O17)</f>
        <v>567819</v>
      </c>
      <c r="P18" s="95">
        <f>SUM(P5:P17)</f>
        <v>6089348</v>
      </c>
      <c r="Q18" s="97">
        <f>SUM(P5:P17)</f>
        <v>6089348</v>
      </c>
      <c r="R18" s="11"/>
      <c r="S18" s="11"/>
      <c r="T18" s="11"/>
      <c r="U18" s="11"/>
      <c r="V18" s="97"/>
    </row>
    <row r="19" spans="1:22" s="53" customFormat="1" x14ac:dyDescent="0.25">
      <c r="A19" s="10"/>
      <c r="B19" s="40" t="s">
        <v>27</v>
      </c>
      <c r="C19" s="74">
        <f>C44*0.75</f>
        <v>4462797</v>
      </c>
      <c r="D19" s="114">
        <f>C19/C44</f>
        <v>0.75</v>
      </c>
      <c r="E19" s="49">
        <f>E44*0.75</f>
        <v>4722971.25</v>
      </c>
      <c r="F19" s="114">
        <f>E19/E44</f>
        <v>0.75</v>
      </c>
      <c r="G19" s="63"/>
      <c r="H19" s="70"/>
      <c r="I19" s="56">
        <f>(0.75*I46)</f>
        <v>4722971.25</v>
      </c>
      <c r="J19" s="119">
        <v>0.75</v>
      </c>
      <c r="K19" s="50"/>
      <c r="L19" s="51"/>
      <c r="M19" s="52"/>
      <c r="N19" s="75"/>
      <c r="O19" s="48"/>
      <c r="V19" s="104"/>
    </row>
    <row r="20" spans="1:22" ht="94.5" customHeight="1" x14ac:dyDescent="0.25">
      <c r="A20" s="9"/>
      <c r="B20" s="7" t="s">
        <v>43</v>
      </c>
      <c r="C20" s="151" t="s">
        <v>58</v>
      </c>
      <c r="D20" s="151"/>
      <c r="E20" s="146" t="s">
        <v>64</v>
      </c>
      <c r="F20" s="147"/>
      <c r="G20" s="6" t="s">
        <v>62</v>
      </c>
      <c r="H20" s="6" t="s">
        <v>65</v>
      </c>
      <c r="I20" s="148" t="s">
        <v>51</v>
      </c>
      <c r="J20" s="148"/>
      <c r="K20" s="21"/>
      <c r="L20" s="19"/>
      <c r="V20" s="97"/>
    </row>
    <row r="21" spans="1:22" ht="55.9" customHeight="1" x14ac:dyDescent="0.25">
      <c r="A21" s="41" t="s">
        <v>57</v>
      </c>
      <c r="B21" s="6" t="s">
        <v>13</v>
      </c>
      <c r="C21" s="6" t="s">
        <v>2</v>
      </c>
      <c r="D21" s="6" t="s">
        <v>49</v>
      </c>
      <c r="E21" s="6" t="s">
        <v>2</v>
      </c>
      <c r="F21" s="6" t="s">
        <v>49</v>
      </c>
      <c r="G21" s="6" t="s">
        <v>32</v>
      </c>
      <c r="H21" s="6" t="s">
        <v>48</v>
      </c>
      <c r="I21" s="6" t="s">
        <v>2</v>
      </c>
      <c r="J21" s="6" t="s">
        <v>49</v>
      </c>
      <c r="K21" s="21"/>
      <c r="L21" s="19"/>
      <c r="V21" s="97"/>
    </row>
    <row r="22" spans="1:22" x14ac:dyDescent="0.25">
      <c r="A22" s="10"/>
      <c r="B22" s="7" t="s">
        <v>44</v>
      </c>
      <c r="C22" s="7"/>
      <c r="D22" s="7"/>
      <c r="I22" s="11"/>
      <c r="J22" s="12"/>
      <c r="M22" s="7" t="s">
        <v>44</v>
      </c>
      <c r="N22" s="7"/>
      <c r="V22" s="97"/>
    </row>
    <row r="23" spans="1:22" x14ac:dyDescent="0.25">
      <c r="A23" s="89">
        <v>11</v>
      </c>
      <c r="B23" s="13" t="s">
        <v>36</v>
      </c>
      <c r="C23" s="44">
        <f>123205</f>
        <v>123205</v>
      </c>
      <c r="D23" s="113">
        <f>C23/C44</f>
        <v>2.0705344652692022E-2</v>
      </c>
      <c r="E23" s="44">
        <f>172586</f>
        <v>172586</v>
      </c>
      <c r="F23" s="118">
        <f>E23/E44</f>
        <v>2.740637051305362E-2</v>
      </c>
      <c r="G23" s="64">
        <f>295</f>
        <v>295</v>
      </c>
      <c r="H23" s="97">
        <v>585.03728813559326</v>
      </c>
      <c r="I23" s="57">
        <f>E23</f>
        <v>172586</v>
      </c>
      <c r="J23" s="21">
        <f>I23/I44</f>
        <v>2.740637051305362E-2</v>
      </c>
      <c r="K23" s="26"/>
      <c r="L23" s="19"/>
      <c r="M23" s="13" t="s">
        <v>36</v>
      </c>
      <c r="N23" s="44">
        <f>172586</f>
        <v>172586</v>
      </c>
      <c r="O23" s="66"/>
      <c r="P23" s="97">
        <f>N23+O23</f>
        <v>172586</v>
      </c>
      <c r="R23" s="64">
        <f>295</f>
        <v>295</v>
      </c>
      <c r="S23" s="64"/>
      <c r="T23" s="11">
        <f>R23+S23</f>
        <v>295</v>
      </c>
      <c r="U23" s="11"/>
      <c r="V23" s="97">
        <f>P23/T23</f>
        <v>585.03728813559326</v>
      </c>
    </row>
    <row r="24" spans="1:22" ht="15.75" customHeight="1" x14ac:dyDescent="0.25">
      <c r="A24" s="149" t="s">
        <v>45</v>
      </c>
      <c r="B24" s="27" t="s">
        <v>37</v>
      </c>
      <c r="C24" s="68"/>
      <c r="D24" s="115">
        <f>C24/C44</f>
        <v>0</v>
      </c>
      <c r="E24" s="65"/>
      <c r="F24" s="150"/>
      <c r="G24" s="64"/>
      <c r="H24" s="97"/>
      <c r="I24" s="57">
        <f>E24</f>
        <v>0</v>
      </c>
      <c r="J24" s="21"/>
      <c r="K24" s="26"/>
      <c r="L24" s="19"/>
      <c r="M24" s="27" t="s">
        <v>37</v>
      </c>
      <c r="N24" s="65"/>
      <c r="O24" s="143"/>
      <c r="P24" s="97">
        <f t="shared" ref="P24:P41" si="4">N24+O24</f>
        <v>0</v>
      </c>
      <c r="R24" s="64"/>
      <c r="S24" s="64"/>
      <c r="T24" s="11">
        <f t="shared" ref="T24:T41" si="5">R24+S24</f>
        <v>0</v>
      </c>
      <c r="U24" s="11"/>
      <c r="V24" s="97"/>
    </row>
    <row r="25" spans="1:22" x14ac:dyDescent="0.25">
      <c r="A25" s="149"/>
      <c r="B25" s="27" t="s">
        <v>38</v>
      </c>
      <c r="C25" s="68"/>
      <c r="D25" s="115">
        <f>C25/C44</f>
        <v>0</v>
      </c>
      <c r="E25" s="65"/>
      <c r="F25" s="150"/>
      <c r="G25" s="64"/>
      <c r="H25" s="97"/>
      <c r="I25" s="57">
        <f t="shared" ref="I25:I41" si="6">E25</f>
        <v>0</v>
      </c>
      <c r="J25" s="21"/>
      <c r="K25" s="26"/>
      <c r="L25" s="19"/>
      <c r="M25" s="27" t="s">
        <v>38</v>
      </c>
      <c r="N25" s="65"/>
      <c r="O25" s="143"/>
      <c r="P25" s="97">
        <f t="shared" si="4"/>
        <v>0</v>
      </c>
      <c r="R25" s="64"/>
      <c r="S25" s="64"/>
      <c r="T25" s="11">
        <f t="shared" si="5"/>
        <v>0</v>
      </c>
      <c r="U25" s="11"/>
      <c r="V25" s="97"/>
    </row>
    <row r="26" spans="1:22" x14ac:dyDescent="0.25">
      <c r="A26" s="149"/>
      <c r="B26" s="27" t="s">
        <v>39</v>
      </c>
      <c r="C26" s="68"/>
      <c r="D26" s="115">
        <f>C26/C44</f>
        <v>0</v>
      </c>
      <c r="E26" s="65"/>
      <c r="F26" s="150"/>
      <c r="G26" s="64"/>
      <c r="H26" s="97"/>
      <c r="I26" s="57">
        <f>E26</f>
        <v>0</v>
      </c>
      <c r="J26" s="21"/>
      <c r="K26" s="26"/>
      <c r="L26" s="19"/>
      <c r="M26" s="27" t="s">
        <v>39</v>
      </c>
      <c r="N26" s="65"/>
      <c r="O26" s="143"/>
      <c r="P26" s="97">
        <f t="shared" si="4"/>
        <v>0</v>
      </c>
      <c r="R26" s="64"/>
      <c r="S26" s="64"/>
      <c r="T26" s="11">
        <f t="shared" si="5"/>
        <v>0</v>
      </c>
      <c r="U26" s="11"/>
      <c r="V26" s="97"/>
    </row>
    <row r="27" spans="1:22" ht="15" customHeight="1" x14ac:dyDescent="0.25">
      <c r="A27" s="89">
        <f>13</f>
        <v>13</v>
      </c>
      <c r="B27" s="13" t="s">
        <v>26</v>
      </c>
      <c r="C27" s="44">
        <f>30991</f>
        <v>30991</v>
      </c>
      <c r="D27" s="113">
        <f>C27/C44</f>
        <v>5.2082247971395514E-3</v>
      </c>
      <c r="E27" s="14">
        <f>46926</f>
        <v>46926</v>
      </c>
      <c r="F27" s="26">
        <f>E27/E44</f>
        <v>7.451770958800564E-3</v>
      </c>
      <c r="G27" s="61">
        <f>144</f>
        <v>144</v>
      </c>
      <c r="H27" s="97">
        <v>330.60264900662253</v>
      </c>
      <c r="I27" s="57">
        <f>E27</f>
        <v>46926</v>
      </c>
      <c r="J27" s="21">
        <f>I27/I44</f>
        <v>7.451770958800564E-3</v>
      </c>
      <c r="L27" s="19"/>
      <c r="M27" s="13" t="s">
        <v>26</v>
      </c>
      <c r="N27" s="14">
        <f>46926</f>
        <v>46926</v>
      </c>
      <c r="O27" s="44">
        <f>2995</f>
        <v>2995</v>
      </c>
      <c r="P27" s="97">
        <f t="shared" si="4"/>
        <v>49921</v>
      </c>
      <c r="R27" s="61">
        <f>144</f>
        <v>144</v>
      </c>
      <c r="S27" s="61">
        <f>7</f>
        <v>7</v>
      </c>
      <c r="T27" s="11">
        <f t="shared" si="5"/>
        <v>151</v>
      </c>
      <c r="U27" s="11"/>
      <c r="V27" s="97">
        <f>P27/T27</f>
        <v>330.60264900662253</v>
      </c>
    </row>
    <row r="28" spans="1:22" x14ac:dyDescent="0.25">
      <c r="A28" s="89">
        <v>15</v>
      </c>
      <c r="B28" s="13" t="s">
        <v>25</v>
      </c>
      <c r="C28" s="66">
        <f>374460</f>
        <v>374460</v>
      </c>
      <c r="D28" s="112">
        <f>C28/C44</f>
        <v>6.2930265481490638E-2</v>
      </c>
      <c r="E28" s="14">
        <f>375148</f>
        <v>375148</v>
      </c>
      <c r="F28" s="26">
        <f>E28/E44</f>
        <v>5.957288010169446E-2</v>
      </c>
      <c r="G28" s="61">
        <f>341</f>
        <v>341</v>
      </c>
      <c r="H28" s="97">
        <v>1100.1407624633432</v>
      </c>
      <c r="I28" s="57">
        <f>E28</f>
        <v>375148</v>
      </c>
      <c r="J28" s="21">
        <f>I28/I44</f>
        <v>5.957288010169446E-2</v>
      </c>
      <c r="K28" s="17"/>
      <c r="L28" s="19"/>
      <c r="M28" s="13" t="s">
        <v>25</v>
      </c>
      <c r="N28" s="14">
        <f>375148</f>
        <v>375148</v>
      </c>
      <c r="O28" s="66"/>
      <c r="P28" s="97">
        <f t="shared" si="4"/>
        <v>375148</v>
      </c>
      <c r="R28" s="61">
        <f>341</f>
        <v>341</v>
      </c>
      <c r="S28" s="61"/>
      <c r="T28" s="11">
        <f t="shared" si="5"/>
        <v>341</v>
      </c>
      <c r="U28" s="11"/>
      <c r="V28" s="97">
        <f>P28/T28</f>
        <v>1100.1407624633432</v>
      </c>
    </row>
    <row r="29" spans="1:22" x14ac:dyDescent="0.25">
      <c r="A29" s="89">
        <v>10</v>
      </c>
      <c r="B29" s="13" t="s">
        <v>35</v>
      </c>
      <c r="C29" s="44">
        <f>213810</f>
        <v>213810</v>
      </c>
      <c r="D29" s="113">
        <f>C29/C44</f>
        <v>3.5932062336691543E-2</v>
      </c>
      <c r="E29" s="14">
        <f>178206</f>
        <v>178206</v>
      </c>
      <c r="F29" s="26">
        <f>E29/E44</f>
        <v>2.8298817190555627E-2</v>
      </c>
      <c r="G29" s="61">
        <v>221</v>
      </c>
      <c r="H29" s="97">
        <v>806.3619909502263</v>
      </c>
      <c r="I29" s="57">
        <f t="shared" si="6"/>
        <v>178206</v>
      </c>
      <c r="J29" s="21">
        <f>I29/I44</f>
        <v>2.8298817190555627E-2</v>
      </c>
      <c r="K29" s="17"/>
      <c r="L29" s="19"/>
      <c r="M29" s="13" t="s">
        <v>35</v>
      </c>
      <c r="N29" s="14">
        <f>178206</f>
        <v>178206</v>
      </c>
      <c r="O29" s="66"/>
      <c r="P29" s="97">
        <f t="shared" si="4"/>
        <v>178206</v>
      </c>
      <c r="R29" s="61">
        <v>221</v>
      </c>
      <c r="S29" s="61"/>
      <c r="T29" s="11">
        <f t="shared" si="5"/>
        <v>221</v>
      </c>
      <c r="U29" s="11"/>
      <c r="V29" s="97">
        <f>P29/T29</f>
        <v>806.3619909502263</v>
      </c>
    </row>
    <row r="30" spans="1:22" x14ac:dyDescent="0.25">
      <c r="A30" s="89">
        <v>8</v>
      </c>
      <c r="B30" s="13" t="s">
        <v>11</v>
      </c>
      <c r="C30" s="44"/>
      <c r="D30" s="113">
        <f>C30/C44</f>
        <v>0</v>
      </c>
      <c r="E30" s="14"/>
      <c r="F30" s="26">
        <f>E30/E44</f>
        <v>0</v>
      </c>
      <c r="G30" s="15"/>
      <c r="H30" s="97"/>
      <c r="I30" s="57">
        <f t="shared" si="6"/>
        <v>0</v>
      </c>
      <c r="J30" s="21">
        <f>I30/I44</f>
        <v>0</v>
      </c>
      <c r="K30" s="17"/>
      <c r="L30" s="19"/>
      <c r="M30" s="13" t="s">
        <v>11</v>
      </c>
      <c r="N30" s="14"/>
      <c r="O30" s="66"/>
      <c r="P30" s="97">
        <f t="shared" si="4"/>
        <v>0</v>
      </c>
      <c r="R30" s="15"/>
      <c r="S30" s="15"/>
      <c r="T30" s="11">
        <f t="shared" si="5"/>
        <v>0</v>
      </c>
      <c r="U30" s="11"/>
      <c r="V30" s="97"/>
    </row>
    <row r="31" spans="1:22" x14ac:dyDescent="0.25">
      <c r="A31" s="89">
        <v>16</v>
      </c>
      <c r="B31" s="13" t="s">
        <v>18</v>
      </c>
      <c r="C31" s="44"/>
      <c r="D31" s="113">
        <f>C31/C44</f>
        <v>0</v>
      </c>
      <c r="E31" s="14"/>
      <c r="F31" s="26">
        <f>E31/E44</f>
        <v>0</v>
      </c>
      <c r="G31" s="15"/>
      <c r="H31" s="97"/>
      <c r="I31" s="57">
        <f t="shared" si="6"/>
        <v>0</v>
      </c>
      <c r="J31" s="21">
        <f>I31/I44</f>
        <v>0</v>
      </c>
      <c r="K31" s="17"/>
      <c r="L31" s="19"/>
      <c r="M31" s="13" t="s">
        <v>18</v>
      </c>
      <c r="N31" s="14"/>
      <c r="O31" s="66"/>
      <c r="P31" s="97">
        <f t="shared" si="4"/>
        <v>0</v>
      </c>
      <c r="R31" s="15"/>
      <c r="S31" s="15"/>
      <c r="T31" s="11">
        <f t="shared" si="5"/>
        <v>0</v>
      </c>
      <c r="U31" s="11"/>
      <c r="V31" s="97"/>
    </row>
    <row r="32" spans="1:22" x14ac:dyDescent="0.25">
      <c r="A32" s="89">
        <v>26</v>
      </c>
      <c r="B32" s="13" t="s">
        <v>9</v>
      </c>
      <c r="C32" s="44"/>
      <c r="D32" s="113">
        <f>C32/C44</f>
        <v>0</v>
      </c>
      <c r="E32" s="14"/>
      <c r="F32" s="26">
        <f>E32/E44</f>
        <v>0</v>
      </c>
      <c r="G32" s="15"/>
      <c r="H32" s="97"/>
      <c r="I32" s="57">
        <f t="shared" si="6"/>
        <v>0</v>
      </c>
      <c r="J32" s="21">
        <f>I32/I44</f>
        <v>0</v>
      </c>
      <c r="K32" s="17"/>
      <c r="L32" s="19"/>
      <c r="M32" s="13" t="s">
        <v>9</v>
      </c>
      <c r="N32" s="14"/>
      <c r="O32" s="66"/>
      <c r="P32" s="97">
        <f t="shared" si="4"/>
        <v>0</v>
      </c>
      <c r="R32" s="15"/>
      <c r="S32" s="15"/>
      <c r="T32" s="11">
        <f t="shared" si="5"/>
        <v>0</v>
      </c>
      <c r="U32" s="11"/>
      <c r="V32" s="97"/>
    </row>
    <row r="33" spans="1:22" x14ac:dyDescent="0.25">
      <c r="A33" s="89">
        <v>17</v>
      </c>
      <c r="B33" s="13" t="s">
        <v>15</v>
      </c>
      <c r="C33" s="44">
        <f>259</f>
        <v>259</v>
      </c>
      <c r="D33" s="113">
        <f>C33/C44</f>
        <v>4.3526514873968049E-5</v>
      </c>
      <c r="E33" s="14">
        <f>500</f>
        <v>500</v>
      </c>
      <c r="F33" s="26">
        <f>E33/E44</f>
        <v>7.9399170596263952E-5</v>
      </c>
      <c r="G33" s="61">
        <f>1</f>
        <v>1</v>
      </c>
      <c r="H33" s="97">
        <v>500</v>
      </c>
      <c r="I33" s="57">
        <f t="shared" si="6"/>
        <v>500</v>
      </c>
      <c r="J33" s="21">
        <f>I33/I44</f>
        <v>7.9399170596263952E-5</v>
      </c>
      <c r="K33" s="17"/>
      <c r="L33" s="19"/>
      <c r="M33" s="13" t="s">
        <v>15</v>
      </c>
      <c r="N33" s="14">
        <f>500</f>
        <v>500</v>
      </c>
      <c r="O33" s="66"/>
      <c r="P33" s="97">
        <f t="shared" si="4"/>
        <v>500</v>
      </c>
      <c r="R33" s="61">
        <f>1</f>
        <v>1</v>
      </c>
      <c r="S33" s="61"/>
      <c r="T33" s="11">
        <f t="shared" si="5"/>
        <v>1</v>
      </c>
      <c r="U33" s="11"/>
      <c r="V33" s="97">
        <f>P33/T33</f>
        <v>500</v>
      </c>
    </row>
    <row r="34" spans="1:22" x14ac:dyDescent="0.25">
      <c r="A34" s="89">
        <v>23</v>
      </c>
      <c r="B34" s="13" t="s">
        <v>12</v>
      </c>
      <c r="C34" s="44"/>
      <c r="D34" s="113">
        <f>C34/C44</f>
        <v>0</v>
      </c>
      <c r="E34" s="14"/>
      <c r="F34" s="26">
        <f>E34/E44</f>
        <v>0</v>
      </c>
      <c r="G34" s="15"/>
      <c r="H34" s="97"/>
      <c r="I34" s="57">
        <f t="shared" si="6"/>
        <v>0</v>
      </c>
      <c r="J34" s="21">
        <f>I34/I44</f>
        <v>0</v>
      </c>
      <c r="K34" s="17"/>
      <c r="L34" s="19"/>
      <c r="M34" s="13" t="s">
        <v>12</v>
      </c>
      <c r="N34" s="14"/>
      <c r="O34" s="66"/>
      <c r="P34" s="97">
        <f t="shared" si="4"/>
        <v>0</v>
      </c>
      <c r="R34" s="15"/>
      <c r="S34" s="15"/>
      <c r="T34" s="11">
        <f t="shared" si="5"/>
        <v>0</v>
      </c>
      <c r="U34" s="11"/>
      <c r="V34" s="97"/>
    </row>
    <row r="35" spans="1:22" x14ac:dyDescent="0.25">
      <c r="A35" s="89">
        <v>18</v>
      </c>
      <c r="B35" s="13" t="s">
        <v>34</v>
      </c>
      <c r="C35" s="44"/>
      <c r="D35" s="113">
        <f>C35/C44</f>
        <v>0</v>
      </c>
      <c r="E35" s="14"/>
      <c r="F35" s="26">
        <f>E35/E44</f>
        <v>0</v>
      </c>
      <c r="G35" s="61"/>
      <c r="H35" s="97"/>
      <c r="I35" s="57">
        <f t="shared" si="6"/>
        <v>0</v>
      </c>
      <c r="J35" s="21">
        <f>I35/I44</f>
        <v>0</v>
      </c>
      <c r="K35" s="17"/>
      <c r="L35" s="19"/>
      <c r="M35" s="13" t="s">
        <v>34</v>
      </c>
      <c r="N35" s="14"/>
      <c r="O35" s="66"/>
      <c r="P35" s="97">
        <f t="shared" si="4"/>
        <v>0</v>
      </c>
      <c r="R35" s="61"/>
      <c r="S35" s="61"/>
      <c r="T35" s="11">
        <f t="shared" si="5"/>
        <v>0</v>
      </c>
      <c r="U35" s="11"/>
      <c r="V35" s="97"/>
    </row>
    <row r="36" spans="1:22" x14ac:dyDescent="0.25">
      <c r="A36" s="89">
        <v>22</v>
      </c>
      <c r="B36" s="13" t="s">
        <v>29</v>
      </c>
      <c r="C36" s="44"/>
      <c r="D36" s="113">
        <f>C36/C44</f>
        <v>0</v>
      </c>
      <c r="E36" s="14"/>
      <c r="F36" s="26">
        <f>E36/E44</f>
        <v>0</v>
      </c>
      <c r="G36" s="61"/>
      <c r="H36" s="97"/>
      <c r="I36" s="57">
        <f t="shared" si="6"/>
        <v>0</v>
      </c>
      <c r="J36" s="21">
        <f>I36/I44</f>
        <v>0</v>
      </c>
      <c r="K36" s="17"/>
      <c r="L36" s="19"/>
      <c r="M36" s="13" t="s">
        <v>29</v>
      </c>
      <c r="N36" s="14"/>
      <c r="O36" s="66"/>
      <c r="P36" s="97">
        <f t="shared" si="4"/>
        <v>0</v>
      </c>
      <c r="R36" s="61"/>
      <c r="S36" s="61"/>
      <c r="T36" s="11">
        <f t="shared" si="5"/>
        <v>0</v>
      </c>
      <c r="U36" s="11"/>
      <c r="V36" s="97"/>
    </row>
    <row r="37" spans="1:22" x14ac:dyDescent="0.25">
      <c r="A37" s="89">
        <v>24</v>
      </c>
      <c r="B37" s="13" t="s">
        <v>14</v>
      </c>
      <c r="C37" s="44"/>
      <c r="D37" s="113">
        <f>C37/C44</f>
        <v>0</v>
      </c>
      <c r="E37" s="14"/>
      <c r="F37" s="26">
        <f>E37/E44</f>
        <v>0</v>
      </c>
      <c r="G37" s="61"/>
      <c r="H37" s="97"/>
      <c r="I37" s="57">
        <f t="shared" si="6"/>
        <v>0</v>
      </c>
      <c r="J37" s="21">
        <f>I37/I44</f>
        <v>0</v>
      </c>
      <c r="K37" s="17"/>
      <c r="L37" s="19"/>
      <c r="M37" s="13" t="s">
        <v>14</v>
      </c>
      <c r="N37" s="14"/>
      <c r="O37" s="66"/>
      <c r="P37" s="97">
        <f t="shared" si="4"/>
        <v>0</v>
      </c>
      <c r="Q37" s="88"/>
      <c r="R37" s="61"/>
      <c r="S37" s="61"/>
      <c r="T37" s="11">
        <f t="shared" si="5"/>
        <v>0</v>
      </c>
      <c r="U37" s="11"/>
      <c r="V37" s="97"/>
    </row>
    <row r="38" spans="1:22" ht="19.899999999999999" customHeight="1" x14ac:dyDescent="0.25">
      <c r="A38" s="89">
        <v>19</v>
      </c>
      <c r="B38" s="13" t="s">
        <v>10</v>
      </c>
      <c r="C38" s="44">
        <f>1520</f>
        <v>1520</v>
      </c>
      <c r="D38" s="113">
        <f>C38/C44</f>
        <v>2.5544518381633762E-4</v>
      </c>
      <c r="E38" s="14">
        <f>2400</f>
        <v>2400</v>
      </c>
      <c r="F38" s="26">
        <f>E38/E44</f>
        <v>3.8111601886206699E-4</v>
      </c>
      <c r="G38" s="61">
        <f>12</f>
        <v>12</v>
      </c>
      <c r="H38" s="97">
        <v>200</v>
      </c>
      <c r="I38" s="57">
        <f t="shared" si="6"/>
        <v>2400</v>
      </c>
      <c r="J38" s="21">
        <f>I38/I44</f>
        <v>3.8111601886206699E-4</v>
      </c>
      <c r="K38" s="17"/>
      <c r="L38" s="19"/>
      <c r="M38" s="13" t="s">
        <v>10</v>
      </c>
      <c r="N38" s="14">
        <f>2400</f>
        <v>2400</v>
      </c>
      <c r="O38" s="66"/>
      <c r="P38" s="97">
        <f t="shared" si="4"/>
        <v>2400</v>
      </c>
      <c r="Q38" s="88"/>
      <c r="R38" s="61">
        <f>12</f>
        <v>12</v>
      </c>
      <c r="S38" s="61"/>
      <c r="T38" s="11">
        <f t="shared" si="5"/>
        <v>12</v>
      </c>
      <c r="U38" s="11"/>
      <c r="V38" s="97">
        <f>P38/T38</f>
        <v>200</v>
      </c>
    </row>
    <row r="39" spans="1:22" x14ac:dyDescent="0.25">
      <c r="A39" s="89">
        <f>29</f>
        <v>29</v>
      </c>
      <c r="B39" s="13" t="s">
        <v>17</v>
      </c>
      <c r="C39" s="44"/>
      <c r="D39" s="113">
        <f>C39/C44</f>
        <v>0</v>
      </c>
      <c r="E39" s="14"/>
      <c r="F39" s="26">
        <f>E39/E44</f>
        <v>0</v>
      </c>
      <c r="G39" s="61"/>
      <c r="H39" s="76"/>
      <c r="I39" s="57">
        <f t="shared" si="6"/>
        <v>0</v>
      </c>
      <c r="J39" s="21">
        <f>I39/I44</f>
        <v>0</v>
      </c>
      <c r="K39" s="17"/>
      <c r="L39" s="19"/>
      <c r="M39" s="13" t="s">
        <v>17</v>
      </c>
      <c r="N39" s="57"/>
      <c r="O39" s="66"/>
      <c r="P39" s="97">
        <f t="shared" si="4"/>
        <v>0</v>
      </c>
      <c r="Q39" s="88"/>
      <c r="R39" s="61"/>
      <c r="S39" s="61"/>
      <c r="T39" s="11">
        <f t="shared" si="5"/>
        <v>0</v>
      </c>
      <c r="U39" s="11"/>
      <c r="V39" s="101"/>
    </row>
    <row r="40" spans="1:22" ht="19.899999999999999" customHeight="1" x14ac:dyDescent="0.25">
      <c r="A40" s="89">
        <f>25</f>
        <v>25</v>
      </c>
      <c r="B40" s="20" t="s">
        <v>33</v>
      </c>
      <c r="C40" s="44"/>
      <c r="D40" s="113">
        <f>C40/C44</f>
        <v>0</v>
      </c>
      <c r="E40" s="14"/>
      <c r="F40" s="26">
        <f>E40/E44</f>
        <v>0</v>
      </c>
      <c r="G40" s="61"/>
      <c r="H40" s="76"/>
      <c r="I40" s="57">
        <f t="shared" si="6"/>
        <v>0</v>
      </c>
      <c r="J40" s="21">
        <f>I40/I44</f>
        <v>0</v>
      </c>
      <c r="K40" s="17"/>
      <c r="L40" s="19"/>
      <c r="M40" s="20" t="s">
        <v>33</v>
      </c>
      <c r="N40" s="57"/>
      <c r="O40" s="66"/>
      <c r="P40" s="97">
        <f t="shared" si="4"/>
        <v>0</v>
      </c>
      <c r="Q40" s="88"/>
      <c r="R40" s="61"/>
      <c r="S40" s="61"/>
      <c r="T40" s="11">
        <f t="shared" si="5"/>
        <v>0</v>
      </c>
      <c r="U40" s="11"/>
      <c r="V40" s="101"/>
    </row>
    <row r="41" spans="1:22" x14ac:dyDescent="0.25">
      <c r="A41" s="89">
        <v>27</v>
      </c>
      <c r="B41" s="13" t="s">
        <v>16</v>
      </c>
      <c r="C41" s="44"/>
      <c r="D41" s="113">
        <f>C41/C44</f>
        <v>0</v>
      </c>
      <c r="E41" s="14"/>
      <c r="F41" s="26">
        <f>E41/E44</f>
        <v>0</v>
      </c>
      <c r="G41" s="61"/>
      <c r="H41" s="76"/>
      <c r="I41" s="57">
        <f t="shared" si="6"/>
        <v>0</v>
      </c>
      <c r="J41" s="21">
        <f>I41/I44</f>
        <v>0</v>
      </c>
      <c r="K41" s="17"/>
      <c r="L41" s="19"/>
      <c r="M41" s="13" t="s">
        <v>16</v>
      </c>
      <c r="N41" s="57"/>
      <c r="O41" s="66"/>
      <c r="P41" s="97">
        <f t="shared" si="4"/>
        <v>0</v>
      </c>
      <c r="Q41" s="88"/>
      <c r="R41" s="61"/>
      <c r="S41" s="61"/>
      <c r="T41" s="11">
        <f t="shared" si="5"/>
        <v>0</v>
      </c>
      <c r="U41" s="11"/>
      <c r="V41" s="101"/>
    </row>
    <row r="42" spans="1:22" x14ac:dyDescent="0.25">
      <c r="B42" s="29" t="s">
        <v>3</v>
      </c>
      <c r="C42" s="45">
        <f>SUM(C27:C41)+C23</f>
        <v>744245</v>
      </c>
      <c r="D42" s="116">
        <f>C42/C44</f>
        <v>0.12507486896670406</v>
      </c>
      <c r="E42" s="45">
        <f>SUM(E27:E41)+E23</f>
        <v>775766</v>
      </c>
      <c r="F42" s="17">
        <f>E42/E44</f>
        <v>0.12319035395356261</v>
      </c>
      <c r="G42" s="99"/>
      <c r="H42" s="25"/>
      <c r="I42" s="45">
        <f>SUM(I27:I41)+I23</f>
        <v>775766</v>
      </c>
      <c r="J42" s="21">
        <f>SUM(J23:J41)</f>
        <v>0.12319035395356261</v>
      </c>
      <c r="K42" s="17"/>
      <c r="L42" s="19"/>
      <c r="M42" s="29" t="s">
        <v>3</v>
      </c>
      <c r="N42" s="96">
        <f>SUM(N23:N41)</f>
        <v>775766</v>
      </c>
      <c r="O42" s="96">
        <f>SUM(O23:O41)</f>
        <v>2995</v>
      </c>
      <c r="P42" s="96">
        <f>SUM(P23:P41)</f>
        <v>778761</v>
      </c>
      <c r="Q42" s="98">
        <f>SUM(P23:P41)</f>
        <v>778761</v>
      </c>
      <c r="R42" s="100"/>
      <c r="S42" s="100"/>
      <c r="T42" s="100"/>
      <c r="U42" s="100"/>
    </row>
    <row r="43" spans="1:22" x14ac:dyDescent="0.25">
      <c r="B43" s="81" t="s">
        <v>28</v>
      </c>
      <c r="C43" s="82">
        <f>C44*0.25</f>
        <v>1487599</v>
      </c>
      <c r="D43" s="117">
        <f>C43/C44</f>
        <v>0.25</v>
      </c>
      <c r="E43" s="83">
        <f>E44*0.25</f>
        <v>1574323.75</v>
      </c>
      <c r="F43" s="117">
        <f>E43/E44</f>
        <v>0.25</v>
      </c>
      <c r="G43" s="80"/>
      <c r="H43" s="16"/>
      <c r="I43" s="84">
        <f>0.25*I46</f>
        <v>1574323.75</v>
      </c>
      <c r="J43" s="117">
        <v>0.25</v>
      </c>
      <c r="K43" s="17"/>
      <c r="L43" s="10"/>
      <c r="M43" s="88"/>
      <c r="N43" s="108"/>
      <c r="O43" s="108"/>
      <c r="P43" s="88"/>
      <c r="Q43" s="88"/>
      <c r="R43" s="88"/>
      <c r="S43" s="88"/>
      <c r="T43" s="88"/>
      <c r="U43" s="88"/>
    </row>
    <row r="44" spans="1:22" ht="15" customHeight="1" x14ac:dyDescent="0.25">
      <c r="B44" s="42" t="s">
        <v>46</v>
      </c>
      <c r="C44" s="36">
        <f>C18+C42</f>
        <v>5950396</v>
      </c>
      <c r="D44" s="17">
        <v>1</v>
      </c>
      <c r="E44" s="47">
        <f>E18+E42</f>
        <v>6297295</v>
      </c>
      <c r="F44" s="17">
        <v>1</v>
      </c>
      <c r="G44" s="24"/>
      <c r="H44" s="25"/>
      <c r="I44" s="59">
        <f>I18+I42</f>
        <v>6297295</v>
      </c>
      <c r="J44" s="114">
        <f>J18+J42</f>
        <v>1</v>
      </c>
      <c r="K44" s="17"/>
      <c r="L44" s="10"/>
      <c r="M44" s="88"/>
      <c r="N44" s="108"/>
      <c r="O44" s="108"/>
      <c r="P44" s="88"/>
      <c r="Q44" s="88"/>
      <c r="R44" s="88"/>
      <c r="S44" s="88"/>
      <c r="T44" s="88"/>
      <c r="U44" s="88"/>
    </row>
    <row r="45" spans="1:22" s="48" customFormat="1" x14ac:dyDescent="0.25">
      <c r="A45" s="77"/>
      <c r="M45" s="42" t="s">
        <v>46</v>
      </c>
      <c r="N45" s="96">
        <f>N18+N42</f>
        <v>6297295</v>
      </c>
      <c r="O45" s="96">
        <f>O18+O42</f>
        <v>570814</v>
      </c>
      <c r="P45" s="96">
        <f>P18+P42</f>
        <v>6868109</v>
      </c>
      <c r="Q45" s="98">
        <f>Q18+Q42</f>
        <v>6868109</v>
      </c>
      <c r="R45" s="88"/>
      <c r="S45" s="88"/>
      <c r="T45" s="88"/>
      <c r="U45" s="88"/>
      <c r="V45" s="53"/>
    </row>
    <row r="46" spans="1:22" x14ac:dyDescent="0.25">
      <c r="B46" s="69" t="s">
        <v>47</v>
      </c>
      <c r="C46" s="69"/>
      <c r="D46" s="75"/>
      <c r="E46" s="46"/>
      <c r="F46" s="46"/>
      <c r="G46" s="46"/>
      <c r="H46" s="46"/>
      <c r="I46" s="46">
        <f>E44</f>
        <v>6297295</v>
      </c>
      <c r="J46" s="46"/>
      <c r="M46" s="88"/>
      <c r="N46" s="108"/>
      <c r="O46" s="108"/>
      <c r="P46" s="88"/>
      <c r="Q46" s="88"/>
      <c r="R46" s="88"/>
      <c r="S46" s="88"/>
      <c r="T46" s="88"/>
      <c r="U46" s="88"/>
    </row>
    <row r="47" spans="1:22" s="90" customFormat="1" ht="17.25" x14ac:dyDescent="0.2">
      <c r="A47" s="90" t="s">
        <v>59</v>
      </c>
      <c r="B47" s="92"/>
      <c r="C47" s="92"/>
      <c r="D47" s="92"/>
      <c r="G47" s="93"/>
      <c r="M47" s="88"/>
      <c r="N47" s="108"/>
      <c r="O47" s="108"/>
      <c r="P47" s="88"/>
      <c r="Q47" s="88"/>
      <c r="R47" s="88"/>
      <c r="S47" s="88"/>
      <c r="T47" s="88"/>
      <c r="U47" s="88"/>
    </row>
    <row r="48" spans="1:22" s="90" customFormat="1" ht="15" x14ac:dyDescent="0.2">
      <c r="A48" s="91" t="s">
        <v>68</v>
      </c>
      <c r="B48" s="92"/>
      <c r="C48" s="92"/>
      <c r="D48" s="92"/>
      <c r="G48" s="93"/>
      <c r="M48" s="88"/>
      <c r="N48" s="108"/>
      <c r="O48" s="108"/>
      <c r="P48" s="88"/>
      <c r="Q48" s="88"/>
      <c r="R48" s="88"/>
      <c r="S48" s="88"/>
      <c r="T48" s="88"/>
      <c r="U48" s="88"/>
    </row>
    <row r="49" spans="1:21" s="90" customFormat="1" ht="15" x14ac:dyDescent="0.2">
      <c r="A49" s="91" t="s">
        <v>50</v>
      </c>
      <c r="B49" s="105"/>
      <c r="C49" s="105"/>
      <c r="D49" s="105"/>
      <c r="E49" s="106"/>
      <c r="F49" s="106"/>
      <c r="G49" s="106"/>
      <c r="H49" s="106"/>
      <c r="I49" s="106"/>
      <c r="J49" s="106"/>
      <c r="M49" s="88"/>
      <c r="N49" s="108"/>
      <c r="O49" s="108"/>
      <c r="P49" s="88"/>
      <c r="Q49" s="88"/>
      <c r="R49" s="88"/>
      <c r="S49" s="88"/>
      <c r="T49" s="88"/>
      <c r="U49" s="88"/>
    </row>
  </sheetData>
  <mergeCells count="10">
    <mergeCell ref="O24:O26"/>
    <mergeCell ref="A1:J1"/>
    <mergeCell ref="E20:F20"/>
    <mergeCell ref="E2:F2"/>
    <mergeCell ref="I2:J2"/>
    <mergeCell ref="I20:J20"/>
    <mergeCell ref="A24:A26"/>
    <mergeCell ref="F24:F26"/>
    <mergeCell ref="C2:D2"/>
    <mergeCell ref="C20:D20"/>
  </mergeCells>
  <phoneticPr fontId="2" type="noConversion"/>
  <printOptions horizontalCentered="1" gridLines="1"/>
  <pageMargins left="0.25" right="0.25" top="0.5" bottom="0.25" header="0.5" footer="0.5"/>
  <pageSetup scale="88" fitToHeight="2" orientation="landscape" r:id="rId1"/>
  <headerFooter alignWithMargins="0">
    <oddFooter>&amp;L&amp;8MD- Flat Funding&amp;R&amp;8Page &amp;P</oddFooter>
  </headerFooter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topLeftCell="A13" zoomScale="68" zoomScaleNormal="75" zoomScaleSheetLayoutView="68" workbookViewId="0">
      <selection activeCell="O23" sqref="O23"/>
    </sheetView>
  </sheetViews>
  <sheetFormatPr defaultRowHeight="15.75" x14ac:dyDescent="0.25"/>
  <cols>
    <col min="1" max="1" width="9.140625" style="10"/>
    <col min="2" max="2" width="41.85546875" style="2" customWidth="1"/>
    <col min="3" max="3" width="17.28515625" style="2" customWidth="1"/>
    <col min="4" max="4" width="10.5703125" style="2" bestFit="1" customWidth="1"/>
    <col min="5" max="5" width="17.42578125" style="2" customWidth="1"/>
    <col min="6" max="6" width="9.85546875" style="2" customWidth="1"/>
    <col min="7" max="7" width="11.7109375" style="2" customWidth="1"/>
    <col min="8" max="8" width="14.85546875" style="2" customWidth="1"/>
    <col min="9" max="9" width="15.28515625" style="2" customWidth="1"/>
    <col min="10" max="10" width="10.5703125" style="2" bestFit="1" customWidth="1"/>
    <col min="11" max="11" width="15.28515625" style="2" customWidth="1"/>
    <col min="12" max="12" width="11.7109375" style="2" customWidth="1"/>
    <col min="13" max="16384" width="9.140625" style="2"/>
  </cols>
  <sheetData>
    <row r="1" spans="1:12" ht="18" x14ac:dyDescent="0.25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94.5" customHeight="1" x14ac:dyDescent="0.25">
      <c r="A2" s="9"/>
      <c r="B2" s="7" t="s">
        <v>43</v>
      </c>
      <c r="C2" s="151" t="s">
        <v>58</v>
      </c>
      <c r="D2" s="151"/>
      <c r="E2" s="146" t="s">
        <v>64</v>
      </c>
      <c r="F2" s="147"/>
      <c r="G2" s="6" t="s">
        <v>62</v>
      </c>
      <c r="H2" s="6" t="s">
        <v>65</v>
      </c>
      <c r="I2" s="151" t="s">
        <v>67</v>
      </c>
      <c r="J2" s="151"/>
      <c r="K2" s="151" t="s">
        <v>52</v>
      </c>
      <c r="L2" s="151"/>
    </row>
    <row r="3" spans="1:12" ht="63" x14ac:dyDescent="0.2">
      <c r="A3" s="41" t="s">
        <v>57</v>
      </c>
      <c r="B3" s="6" t="s">
        <v>13</v>
      </c>
      <c r="C3" s="6" t="s">
        <v>2</v>
      </c>
      <c r="D3" s="6" t="s">
        <v>49</v>
      </c>
      <c r="E3" s="7" t="s">
        <v>2</v>
      </c>
      <c r="F3" s="6" t="s">
        <v>49</v>
      </c>
      <c r="G3" s="6" t="s">
        <v>32</v>
      </c>
      <c r="H3" s="6" t="s">
        <v>48</v>
      </c>
      <c r="I3" s="6" t="s">
        <v>2</v>
      </c>
      <c r="J3" s="6" t="s">
        <v>49</v>
      </c>
      <c r="K3" s="6" t="s">
        <v>2</v>
      </c>
      <c r="L3" s="6" t="s">
        <v>49</v>
      </c>
    </row>
    <row r="4" spans="1:12" x14ac:dyDescent="0.25">
      <c r="B4" s="7" t="s">
        <v>4</v>
      </c>
      <c r="C4" s="7"/>
      <c r="D4" s="7"/>
      <c r="I4" s="11"/>
      <c r="J4" s="11"/>
      <c r="K4" s="11"/>
      <c r="L4" s="79"/>
    </row>
    <row r="5" spans="1:12" x14ac:dyDescent="0.25">
      <c r="A5" s="89">
        <v>1</v>
      </c>
      <c r="B5" s="13" t="s">
        <v>21</v>
      </c>
      <c r="C5" s="66">
        <f>2506002</f>
        <v>2506002</v>
      </c>
      <c r="D5" s="112">
        <f>C5/C44</f>
        <v>0.41612041910897829</v>
      </c>
      <c r="E5" s="14">
        <f>'#1=- Flat'!E5</f>
        <v>2518037</v>
      </c>
      <c r="F5" s="26">
        <f>E5/E44</f>
        <v>0.39986009866140937</v>
      </c>
      <c r="G5" s="15">
        <f>1634</f>
        <v>1634</v>
      </c>
      <c r="H5" s="101">
        <v>1702.3465220165922</v>
      </c>
      <c r="I5" s="78">
        <f>'#1=- Flat'!I5</f>
        <v>2518037</v>
      </c>
      <c r="J5" s="26">
        <f>I5/I44</f>
        <v>0.39986009866140937</v>
      </c>
      <c r="K5" s="78">
        <f t="shared" ref="K5:K10" si="0">I5*1.1</f>
        <v>2769840.7</v>
      </c>
      <c r="L5" s="26">
        <f>K5/K44</f>
        <v>0.39986009866140942</v>
      </c>
    </row>
    <row r="6" spans="1:12" x14ac:dyDescent="0.25">
      <c r="A6" s="89">
        <v>2</v>
      </c>
      <c r="B6" s="13" t="s">
        <v>19</v>
      </c>
      <c r="C6" s="66">
        <v>0</v>
      </c>
      <c r="D6" s="112">
        <f>C6/C44</f>
        <v>0</v>
      </c>
      <c r="E6" s="14">
        <f>'#1=- Flat'!E6</f>
        <v>0</v>
      </c>
      <c r="F6" s="26">
        <f>E6/E44</f>
        <v>0</v>
      </c>
      <c r="G6" s="61"/>
      <c r="H6" s="97"/>
      <c r="I6" s="78">
        <f>'#1=- Flat'!I6</f>
        <v>0</v>
      </c>
      <c r="J6" s="26">
        <f>I6/I44</f>
        <v>0</v>
      </c>
      <c r="K6" s="78">
        <f t="shared" si="0"/>
        <v>0</v>
      </c>
      <c r="L6" s="118">
        <f>K6/K44</f>
        <v>0</v>
      </c>
    </row>
    <row r="7" spans="1:12" x14ac:dyDescent="0.25">
      <c r="A7" s="89">
        <f>4</f>
        <v>4</v>
      </c>
      <c r="B7" s="22" t="s">
        <v>20</v>
      </c>
      <c r="C7" s="66">
        <f>848960</f>
        <v>848960</v>
      </c>
      <c r="D7" s="112">
        <f>C7/C44</f>
        <v>0.14096939707420753</v>
      </c>
      <c r="E7" s="14">
        <f>'#1=- Flat'!E7</f>
        <v>765987</v>
      </c>
      <c r="F7" s="26">
        <f>E7/E44</f>
        <v>0.12163746497504087</v>
      </c>
      <c r="G7" s="15">
        <f>609</f>
        <v>609</v>
      </c>
      <c r="H7" s="97">
        <v>1057.0303413400759</v>
      </c>
      <c r="I7" s="78">
        <f>'#1=- Flat'!I7</f>
        <v>765987</v>
      </c>
      <c r="J7" s="26">
        <f>I7/I44</f>
        <v>0.12163746497504087</v>
      </c>
      <c r="K7" s="78">
        <f t="shared" si="0"/>
        <v>842585.70000000007</v>
      </c>
      <c r="L7" s="26">
        <f>K7/K44</f>
        <v>0.12163746497504088</v>
      </c>
    </row>
    <row r="8" spans="1:12" x14ac:dyDescent="0.25">
      <c r="A8" s="89">
        <f>3</f>
        <v>3</v>
      </c>
      <c r="B8" s="2" t="s">
        <v>5</v>
      </c>
      <c r="C8" s="44">
        <f>1182137</f>
        <v>1182137</v>
      </c>
      <c r="D8" s="113">
        <f>C8/C44</f>
        <v>0.19629327665509855</v>
      </c>
      <c r="E8" s="14">
        <f>'#1=- Flat'!E8</f>
        <v>1321259</v>
      </c>
      <c r="F8" s="26">
        <f>E8/E44</f>
        <v>0.20981373748569823</v>
      </c>
      <c r="G8" s="15">
        <f>1976</f>
        <v>1976</v>
      </c>
      <c r="H8" s="97">
        <v>899.2580831408776</v>
      </c>
      <c r="I8" s="78">
        <f>'#1=- Flat'!I8</f>
        <v>1321259</v>
      </c>
      <c r="J8" s="26">
        <f>I8/I44</f>
        <v>0.20981373748569823</v>
      </c>
      <c r="K8" s="78">
        <f t="shared" si="0"/>
        <v>1453384.9000000001</v>
      </c>
      <c r="L8" s="26">
        <f>K8/K44</f>
        <v>0.20981373748569823</v>
      </c>
    </row>
    <row r="9" spans="1:12" x14ac:dyDescent="0.25">
      <c r="A9" s="89">
        <f>7</f>
        <v>7</v>
      </c>
      <c r="B9" s="13" t="s">
        <v>31</v>
      </c>
      <c r="C9" s="44">
        <f>104591</f>
        <v>104591</v>
      </c>
      <c r="D9" s="113">
        <f>C9/C44</f>
        <v>1.7367284924364446E-2</v>
      </c>
      <c r="E9" s="14">
        <f>'#1=- Flat'!E9</f>
        <v>104153</v>
      </c>
      <c r="F9" s="26">
        <f>E9/E44</f>
        <v>1.653932363022536E-2</v>
      </c>
      <c r="G9" s="15">
        <f>168</f>
        <v>168</v>
      </c>
      <c r="H9" s="97">
        <v>1062.7857142857142</v>
      </c>
      <c r="I9" s="78">
        <f>'#1=- Flat'!I9</f>
        <v>104153</v>
      </c>
      <c r="J9" s="26">
        <f>I9/I44</f>
        <v>1.653932363022536E-2</v>
      </c>
      <c r="K9" s="78">
        <f t="shared" si="0"/>
        <v>114568.3</v>
      </c>
      <c r="L9" s="26">
        <f>K9/K44</f>
        <v>1.653932363022536E-2</v>
      </c>
    </row>
    <row r="10" spans="1:12" x14ac:dyDescent="0.25">
      <c r="A10" s="89">
        <f>5</f>
        <v>5</v>
      </c>
      <c r="B10" s="13" t="s">
        <v>0</v>
      </c>
      <c r="C10" s="44">
        <f>301495</f>
        <v>301495</v>
      </c>
      <c r="D10" s="113">
        <f>C10/C44</f>
        <v>5.006309881606695E-2</v>
      </c>
      <c r="E10" s="14">
        <f>'#1=- Flat'!E10</f>
        <v>344700</v>
      </c>
      <c r="F10" s="26">
        <f>E10/E44</f>
        <v>5.4737788209064366E-2</v>
      </c>
      <c r="G10" s="15">
        <f>445</f>
        <v>445</v>
      </c>
      <c r="H10" s="97">
        <v>1340.0066225165563</v>
      </c>
      <c r="I10" s="78">
        <f>'#1=- Flat'!I10</f>
        <v>344700</v>
      </c>
      <c r="J10" s="26">
        <f>I10/I44</f>
        <v>5.4737788209064366E-2</v>
      </c>
      <c r="K10" s="78">
        <f t="shared" si="0"/>
        <v>379170.00000000006</v>
      </c>
      <c r="L10" s="118">
        <f>K10/K44</f>
        <v>5.4737788209064379E-2</v>
      </c>
    </row>
    <row r="11" spans="1:12" x14ac:dyDescent="0.25">
      <c r="A11" s="89">
        <v>6</v>
      </c>
      <c r="B11" s="13" t="s">
        <v>30</v>
      </c>
      <c r="C11" s="44">
        <f>135225</f>
        <v>135225</v>
      </c>
      <c r="D11" s="113">
        <f>C11/C44</f>
        <v>2.2454045796456504E-2</v>
      </c>
      <c r="E11" s="14">
        <f>'#1=- Flat'!E11</f>
        <v>171437</v>
      </c>
      <c r="F11" s="26">
        <f>E11/E44</f>
        <v>2.7223911219023407E-2</v>
      </c>
      <c r="G11" s="62">
        <f>193</f>
        <v>193</v>
      </c>
      <c r="H11" s="97">
        <v>1393.7967479674796</v>
      </c>
      <c r="I11" s="78">
        <f>'#1=- Flat'!I11</f>
        <v>171437</v>
      </c>
      <c r="J11" s="26">
        <f>I11/I44</f>
        <v>2.7223911219023407E-2</v>
      </c>
      <c r="K11" s="78">
        <f t="shared" ref="K11:K17" si="1">I11*1.1</f>
        <v>188580.7</v>
      </c>
      <c r="L11" s="118">
        <f>K11/K44</f>
        <v>2.7223911219023407E-2</v>
      </c>
    </row>
    <row r="12" spans="1:12" x14ac:dyDescent="0.25">
      <c r="A12" s="89">
        <f>14</f>
        <v>14</v>
      </c>
      <c r="B12" s="13" t="s">
        <v>22</v>
      </c>
      <c r="C12" s="66">
        <f>200240</f>
        <v>200240</v>
      </c>
      <c r="D12" s="112">
        <f>C12/C44</f>
        <v>3.3249755076963948E-2</v>
      </c>
      <c r="E12" s="14">
        <f>'#1=- Flat'!E12</f>
        <v>194348</v>
      </c>
      <c r="F12" s="26">
        <f>E12/E44</f>
        <v>3.0862140014085413E-2</v>
      </c>
      <c r="G12" s="15">
        <f>642</f>
        <v>642</v>
      </c>
      <c r="H12" s="97">
        <v>468.30843373493974</v>
      </c>
      <c r="I12" s="78">
        <f>'#1=- Flat'!I12</f>
        <v>194348</v>
      </c>
      <c r="J12" s="26">
        <f>I12/I44</f>
        <v>3.0862140014085413E-2</v>
      </c>
      <c r="K12" s="78">
        <f t="shared" si="1"/>
        <v>213782.80000000002</v>
      </c>
      <c r="L12" s="118">
        <f>K12/K44</f>
        <v>3.0862140014085417E-2</v>
      </c>
    </row>
    <row r="13" spans="1:12" x14ac:dyDescent="0.25">
      <c r="A13" s="89">
        <v>9</v>
      </c>
      <c r="B13" s="13" t="s">
        <v>6</v>
      </c>
      <c r="C13" s="66">
        <v>0</v>
      </c>
      <c r="D13" s="112">
        <f>C13/C44</f>
        <v>0</v>
      </c>
      <c r="E13" s="14">
        <f>'#1=- Flat'!E13</f>
        <v>96096</v>
      </c>
      <c r="F13" s="26">
        <f>E13/E44</f>
        <v>1.5259885395237162E-2</v>
      </c>
      <c r="G13" s="15"/>
      <c r="H13" s="97"/>
      <c r="I13" s="78">
        <f>'#1=- Flat'!I13</f>
        <v>96096</v>
      </c>
      <c r="J13" s="26">
        <f>I13/I44</f>
        <v>1.5259885395237162E-2</v>
      </c>
      <c r="K13" s="78">
        <f t="shared" si="1"/>
        <v>105705.60000000001</v>
      </c>
      <c r="L13" s="118">
        <f>K13/K44</f>
        <v>1.5259885395237162E-2</v>
      </c>
    </row>
    <row r="14" spans="1:12" x14ac:dyDescent="0.25">
      <c r="A14" s="89">
        <v>12</v>
      </c>
      <c r="B14" s="13" t="s">
        <v>23</v>
      </c>
      <c r="C14" s="66">
        <f>2806</f>
        <v>2806</v>
      </c>
      <c r="D14" s="112">
        <f>C14/C44</f>
        <v>4.6593494179964466E-4</v>
      </c>
      <c r="E14" s="14">
        <f>'#1=- Flat'!E14</f>
        <v>5512</v>
      </c>
      <c r="F14" s="26">
        <f>E14/E44</f>
        <v>8.7529645665321385E-4</v>
      </c>
      <c r="G14" s="15">
        <f>30</f>
        <v>30</v>
      </c>
      <c r="H14" s="97">
        <v>275.60000000000002</v>
      </c>
      <c r="I14" s="78">
        <f>'#1=- Flat'!I14</f>
        <v>5512</v>
      </c>
      <c r="J14" s="26">
        <f>I14/I44</f>
        <v>8.7529645665321385E-4</v>
      </c>
      <c r="K14" s="78">
        <f t="shared" si="1"/>
        <v>6063.2000000000007</v>
      </c>
      <c r="L14" s="26">
        <f>K14/K44</f>
        <v>8.7529645665321396E-4</v>
      </c>
    </row>
    <row r="15" spans="1:12" x14ac:dyDescent="0.25">
      <c r="A15" s="89">
        <v>21</v>
      </c>
      <c r="B15" s="13" t="s">
        <v>7</v>
      </c>
      <c r="C15" s="67">
        <v>0</v>
      </c>
      <c r="D15" s="26">
        <f>C15/C44</f>
        <v>0</v>
      </c>
      <c r="E15" s="14">
        <f>'#1=- Flat'!E15</f>
        <v>0</v>
      </c>
      <c r="F15" s="26">
        <f>E15/E44</f>
        <v>0</v>
      </c>
      <c r="G15" s="61"/>
      <c r="H15" s="76"/>
      <c r="I15" s="78">
        <f>'#1=- Flat'!I15</f>
        <v>0</v>
      </c>
      <c r="J15" s="26">
        <f>I15/I44</f>
        <v>0</v>
      </c>
      <c r="K15" s="78">
        <f t="shared" si="1"/>
        <v>0</v>
      </c>
      <c r="L15" s="118">
        <f>I15/K44</f>
        <v>0</v>
      </c>
    </row>
    <row r="16" spans="1:12" x14ac:dyDescent="0.25">
      <c r="A16" s="89">
        <f>26</f>
        <v>26</v>
      </c>
      <c r="B16" s="23" t="s">
        <v>8</v>
      </c>
      <c r="C16" s="67">
        <v>0</v>
      </c>
      <c r="D16" s="26">
        <f>C16/C44</f>
        <v>0</v>
      </c>
      <c r="E16" s="14">
        <f>'#1=- Flat'!E16</f>
        <v>0</v>
      </c>
      <c r="F16" s="26">
        <f>E16/E44</f>
        <v>0</v>
      </c>
      <c r="G16" s="61"/>
      <c r="H16" s="76"/>
      <c r="I16" s="78">
        <f>'#1=- Flat'!I16</f>
        <v>0</v>
      </c>
      <c r="J16" s="26">
        <f>I16/I44</f>
        <v>0</v>
      </c>
      <c r="K16" s="78">
        <f t="shared" si="1"/>
        <v>0</v>
      </c>
      <c r="L16" s="118">
        <f>K14/K44</f>
        <v>8.7529645665321396E-4</v>
      </c>
    </row>
    <row r="17" spans="1:12" x14ac:dyDescent="0.25">
      <c r="A17" s="89">
        <v>20</v>
      </c>
      <c r="B17" s="13" t="s">
        <v>24</v>
      </c>
      <c r="C17" s="67">
        <v>0</v>
      </c>
      <c r="D17" s="26">
        <f>C17/C44</f>
        <v>0</v>
      </c>
      <c r="E17" s="14">
        <f>'#1=- Flat'!E17</f>
        <v>0</v>
      </c>
      <c r="F17" s="26">
        <f>E17/E44</f>
        <v>0</v>
      </c>
      <c r="G17" s="61"/>
      <c r="H17" s="76"/>
      <c r="I17" s="78">
        <f>'#1=- Flat'!I17</f>
        <v>0</v>
      </c>
      <c r="J17" s="26">
        <f>I17/I44</f>
        <v>0</v>
      </c>
      <c r="K17" s="78">
        <f t="shared" si="1"/>
        <v>0</v>
      </c>
      <c r="L17" s="26">
        <f>K17/K44</f>
        <v>0</v>
      </c>
    </row>
    <row r="18" spans="1:12" x14ac:dyDescent="0.25">
      <c r="B18" s="29" t="s">
        <v>1</v>
      </c>
      <c r="C18" s="43">
        <f>SUM(C5:C17)</f>
        <v>5281456</v>
      </c>
      <c r="D18" s="17">
        <f>C18/C44</f>
        <v>0.87698321239393584</v>
      </c>
      <c r="E18" s="43">
        <f>'#1=- Flat'!E18</f>
        <v>5521529</v>
      </c>
      <c r="F18" s="17">
        <f>E18/E44</f>
        <v>0.87680964604643741</v>
      </c>
      <c r="G18" s="38"/>
      <c r="H18" s="25"/>
      <c r="I18" s="55">
        <f>'#1=- Flat'!I18</f>
        <v>5521529</v>
      </c>
      <c r="J18" s="21">
        <f>I18/I44</f>
        <v>0.87680964604643741</v>
      </c>
      <c r="K18" s="54">
        <f>SUM(K5:K17)</f>
        <v>6073681.9000000004</v>
      </c>
      <c r="L18" s="17">
        <f>SUM(L5:L17)</f>
        <v>0.87768494250309059</v>
      </c>
    </row>
    <row r="19" spans="1:12" x14ac:dyDescent="0.25">
      <c r="B19" s="40" t="s">
        <v>27</v>
      </c>
      <c r="C19" s="71">
        <f>C44*0.75</f>
        <v>4516725</v>
      </c>
      <c r="D19" s="114">
        <f>C19/C44</f>
        <v>0.75</v>
      </c>
      <c r="E19" s="49">
        <f>'#1=- Flat'!E19</f>
        <v>4722971.25</v>
      </c>
      <c r="F19" s="21">
        <v>0.75</v>
      </c>
      <c r="G19" s="63"/>
      <c r="H19" s="70"/>
      <c r="I19" s="56">
        <f>'#1=- Flat'!I19</f>
        <v>4722971.25</v>
      </c>
      <c r="J19" s="120">
        <f>I19/I44</f>
        <v>0.75</v>
      </c>
      <c r="K19" s="56">
        <f>K46*0.75</f>
        <v>5195268.3750000009</v>
      </c>
      <c r="L19" s="21">
        <v>0.75</v>
      </c>
    </row>
    <row r="20" spans="1:12" ht="94.5" customHeight="1" x14ac:dyDescent="0.25">
      <c r="A20" s="9"/>
      <c r="B20" s="7" t="s">
        <v>43</v>
      </c>
      <c r="C20" s="151" t="s">
        <v>58</v>
      </c>
      <c r="D20" s="151"/>
      <c r="E20" s="146" t="s">
        <v>64</v>
      </c>
      <c r="F20" s="147"/>
      <c r="G20" s="6" t="s">
        <v>62</v>
      </c>
      <c r="H20" s="6" t="s">
        <v>65</v>
      </c>
      <c r="I20" s="151" t="s">
        <v>67</v>
      </c>
      <c r="J20" s="151"/>
      <c r="K20" s="151" t="s">
        <v>52</v>
      </c>
      <c r="L20" s="151"/>
    </row>
    <row r="21" spans="1:12" ht="63" x14ac:dyDescent="0.2">
      <c r="A21" s="41" t="s">
        <v>57</v>
      </c>
      <c r="B21" s="6" t="s">
        <v>13</v>
      </c>
      <c r="C21" s="6" t="s">
        <v>2</v>
      </c>
      <c r="D21" s="6" t="s">
        <v>49</v>
      </c>
      <c r="E21" s="7" t="s">
        <v>2</v>
      </c>
      <c r="F21" s="6" t="s">
        <v>49</v>
      </c>
      <c r="G21" s="6" t="s">
        <v>32</v>
      </c>
      <c r="H21" s="6" t="s">
        <v>48</v>
      </c>
      <c r="I21" s="6" t="s">
        <v>2</v>
      </c>
      <c r="J21" s="6" t="s">
        <v>49</v>
      </c>
      <c r="K21" s="6" t="s">
        <v>2</v>
      </c>
      <c r="L21" s="6" t="s">
        <v>49</v>
      </c>
    </row>
    <row r="22" spans="1:12" x14ac:dyDescent="0.25">
      <c r="B22" s="7" t="s">
        <v>44</v>
      </c>
      <c r="C22" s="7"/>
      <c r="D22" s="7"/>
      <c r="L22" s="11"/>
    </row>
    <row r="23" spans="1:12" x14ac:dyDescent="0.25">
      <c r="A23" s="89">
        <v>11</v>
      </c>
      <c r="B23" s="13" t="s">
        <v>36</v>
      </c>
      <c r="C23" s="44">
        <f>148316</f>
        <v>148316</v>
      </c>
      <c r="D23" s="113">
        <f>C23/C44</f>
        <v>2.462780000996297E-2</v>
      </c>
      <c r="E23" s="44">
        <f>'#1=- Flat'!E23</f>
        <v>172586</v>
      </c>
      <c r="F23" s="118">
        <f>E23/E46</f>
        <v>2.740637051305362E-2</v>
      </c>
      <c r="G23" s="64">
        <f>486</f>
        <v>486</v>
      </c>
      <c r="H23" s="97">
        <v>585.03728813559326</v>
      </c>
      <c r="I23" s="78">
        <f>'#1=- Flat'!I23</f>
        <v>172586</v>
      </c>
      <c r="J23" s="26">
        <f>I23/I44</f>
        <v>2.740637051305362E-2</v>
      </c>
      <c r="K23" s="78">
        <f>I23*1.1</f>
        <v>189844.6</v>
      </c>
      <c r="L23" s="118">
        <f>K23/K44</f>
        <v>2.740637051305362E-2</v>
      </c>
    </row>
    <row r="24" spans="1:12" ht="15.75" customHeight="1" x14ac:dyDescent="0.2">
      <c r="A24" s="149" t="s">
        <v>45</v>
      </c>
      <c r="B24" s="27" t="s">
        <v>37</v>
      </c>
      <c r="C24" s="68">
        <f>18634</f>
        <v>18634</v>
      </c>
      <c r="D24" s="115">
        <f>C24/C44</f>
        <v>3.0941666805041263E-3</v>
      </c>
      <c r="E24" s="44">
        <f>'#1=- Flat'!E24</f>
        <v>0</v>
      </c>
      <c r="F24" s="150"/>
      <c r="G24" s="64"/>
      <c r="H24" s="97"/>
      <c r="I24" s="78">
        <f>'#1=- Flat'!I24</f>
        <v>0</v>
      </c>
      <c r="J24" s="26">
        <f>I24/I44</f>
        <v>0</v>
      </c>
      <c r="K24" s="44">
        <f>I24*0.1</f>
        <v>0</v>
      </c>
      <c r="L24" s="118">
        <f>K24/K44</f>
        <v>0</v>
      </c>
    </row>
    <row r="25" spans="1:12" ht="15" x14ac:dyDescent="0.2">
      <c r="A25" s="149"/>
      <c r="B25" s="27" t="s">
        <v>38</v>
      </c>
      <c r="C25" s="68">
        <f>44367</f>
        <v>44367</v>
      </c>
      <c r="D25" s="115">
        <f>C25/C44</f>
        <v>7.3671188748484799E-3</v>
      </c>
      <c r="E25" s="44">
        <f>'#1=- Flat'!E25</f>
        <v>0</v>
      </c>
      <c r="F25" s="150"/>
      <c r="G25" s="64"/>
      <c r="H25" s="97"/>
      <c r="I25" s="78">
        <f>'#1=- Flat'!I25</f>
        <v>0</v>
      </c>
      <c r="J25" s="26">
        <f>I25/I44</f>
        <v>0</v>
      </c>
      <c r="K25" s="44">
        <f>I25*1.1</f>
        <v>0</v>
      </c>
      <c r="L25" s="118">
        <f>K25/K44</f>
        <v>0</v>
      </c>
    </row>
    <row r="26" spans="1:12" ht="15" x14ac:dyDescent="0.2">
      <c r="A26" s="149"/>
      <c r="B26" s="27" t="s">
        <v>39</v>
      </c>
      <c r="C26" s="68">
        <f>85315</f>
        <v>85315</v>
      </c>
      <c r="D26" s="115">
        <f>C26/C44</f>
        <v>1.4166514454610365E-2</v>
      </c>
      <c r="E26" s="44">
        <f>'#1=- Flat'!E26</f>
        <v>0</v>
      </c>
      <c r="F26" s="150"/>
      <c r="G26" s="64"/>
      <c r="H26" s="97"/>
      <c r="I26" s="78">
        <f>'#1=- Flat'!I26</f>
        <v>0</v>
      </c>
      <c r="J26" s="26">
        <f>I26/I44</f>
        <v>0</v>
      </c>
      <c r="K26" s="44">
        <f>I26*1.1</f>
        <v>0</v>
      </c>
      <c r="L26" s="118">
        <f>K26/K44</f>
        <v>0</v>
      </c>
    </row>
    <row r="27" spans="1:12" ht="15" customHeight="1" x14ac:dyDescent="0.25">
      <c r="A27" s="89">
        <f>13</f>
        <v>13</v>
      </c>
      <c r="B27" s="13" t="s">
        <v>26</v>
      </c>
      <c r="C27" s="44">
        <f>57033</f>
        <v>57033</v>
      </c>
      <c r="D27" s="113">
        <f>C27/C44</f>
        <v>9.4703020440695413E-3</v>
      </c>
      <c r="E27" s="44">
        <f>'#1=- Flat'!E27</f>
        <v>46926</v>
      </c>
      <c r="F27" s="26">
        <f>E27/E46</f>
        <v>7.451770958800564E-3</v>
      </c>
      <c r="G27" s="61"/>
      <c r="H27" s="97">
        <v>330.60264900662253</v>
      </c>
      <c r="I27" s="78">
        <f>'#1=- Flat'!I27</f>
        <v>46926</v>
      </c>
      <c r="J27" s="26">
        <f>I27/I44</f>
        <v>7.451770958800564E-3</v>
      </c>
      <c r="K27" s="78">
        <f t="shared" ref="K27:K41" si="2">I27*1.1</f>
        <v>51618.600000000006</v>
      </c>
      <c r="L27" s="118">
        <f>K27/K44</f>
        <v>7.4517709588005649E-3</v>
      </c>
    </row>
    <row r="28" spans="1:12" x14ac:dyDescent="0.25">
      <c r="A28" s="89">
        <v>15</v>
      </c>
      <c r="B28" s="13" t="s">
        <v>25</v>
      </c>
      <c r="C28" s="66">
        <f>375148</f>
        <v>375148</v>
      </c>
      <c r="D28" s="112">
        <f>C28/C44</f>
        <v>6.2293143815485778E-2</v>
      </c>
      <c r="E28" s="44">
        <f>'#1=- Flat'!E28</f>
        <v>375148</v>
      </c>
      <c r="F28" s="26">
        <f>E28/E46</f>
        <v>5.957288010169446E-2</v>
      </c>
      <c r="G28" s="61">
        <f>328</f>
        <v>328</v>
      </c>
      <c r="H28" s="97">
        <v>1100.1407624633432</v>
      </c>
      <c r="I28" s="78">
        <f>'#1=- Flat'!I28</f>
        <v>375148</v>
      </c>
      <c r="J28" s="26">
        <f>I28/I44</f>
        <v>5.957288010169446E-2</v>
      </c>
      <c r="K28" s="78">
        <f t="shared" si="2"/>
        <v>412662.80000000005</v>
      </c>
      <c r="L28" s="118">
        <f>K28/K44</f>
        <v>5.9572880101694467E-2</v>
      </c>
    </row>
    <row r="29" spans="1:12" x14ac:dyDescent="0.25">
      <c r="A29" s="89">
        <v>10</v>
      </c>
      <c r="B29" s="13" t="s">
        <v>35</v>
      </c>
      <c r="C29" s="44">
        <f>156380</f>
        <v>156380</v>
      </c>
      <c r="D29" s="113">
        <f>C29/C44</f>
        <v>2.596682330671006E-2</v>
      </c>
      <c r="E29" s="44">
        <f>'#1=- Flat'!E29</f>
        <v>178206</v>
      </c>
      <c r="F29" s="26">
        <f>E29/E46</f>
        <v>2.8298817190555627E-2</v>
      </c>
      <c r="G29" s="61">
        <f>286</f>
        <v>286</v>
      </c>
      <c r="H29" s="97">
        <v>806.3619909502263</v>
      </c>
      <c r="I29" s="78">
        <f>'#1=- Flat'!I29</f>
        <v>178206</v>
      </c>
      <c r="J29" s="26">
        <f>I29/I44</f>
        <v>2.8298817190555627E-2</v>
      </c>
      <c r="K29" s="78">
        <f t="shared" si="2"/>
        <v>196026.6</v>
      </c>
      <c r="L29" s="118">
        <f>K29/K44</f>
        <v>2.8298817190555627E-2</v>
      </c>
    </row>
    <row r="30" spans="1:12" x14ac:dyDescent="0.25">
      <c r="A30" s="89">
        <v>8</v>
      </c>
      <c r="B30" s="13" t="s">
        <v>11</v>
      </c>
      <c r="C30" s="44">
        <v>0</v>
      </c>
      <c r="D30" s="113">
        <f>C30/C44</f>
        <v>0</v>
      </c>
      <c r="E30" s="44">
        <f>'#1=- Flat'!E30</f>
        <v>0</v>
      </c>
      <c r="F30" s="26">
        <f>E30/E46</f>
        <v>0</v>
      </c>
      <c r="G30" s="15"/>
      <c r="H30" s="97"/>
      <c r="I30" s="78">
        <f>'#1=- Flat'!I30</f>
        <v>0</v>
      </c>
      <c r="J30" s="26">
        <f>I30/I44</f>
        <v>0</v>
      </c>
      <c r="K30" s="78">
        <f t="shared" si="2"/>
        <v>0</v>
      </c>
      <c r="L30" s="118">
        <f>K30/K44</f>
        <v>0</v>
      </c>
    </row>
    <row r="31" spans="1:12" x14ac:dyDescent="0.25">
      <c r="A31" s="89">
        <v>16</v>
      </c>
      <c r="B31" s="13" t="s">
        <v>18</v>
      </c>
      <c r="C31" s="44">
        <v>0</v>
      </c>
      <c r="D31" s="113">
        <f>C31/C44</f>
        <v>0</v>
      </c>
      <c r="E31" s="44">
        <f>'#1=- Flat'!E31</f>
        <v>0</v>
      </c>
      <c r="F31" s="26">
        <f>E31/E46</f>
        <v>0</v>
      </c>
      <c r="G31" s="15"/>
      <c r="H31" s="97"/>
      <c r="I31" s="78">
        <f>'#1=- Flat'!I31</f>
        <v>0</v>
      </c>
      <c r="J31" s="26">
        <f>I31/I44</f>
        <v>0</v>
      </c>
      <c r="K31" s="78">
        <f t="shared" si="2"/>
        <v>0</v>
      </c>
      <c r="L31" s="118">
        <f>K31/K44</f>
        <v>0</v>
      </c>
    </row>
    <row r="32" spans="1:12" ht="17.100000000000001" customHeight="1" x14ac:dyDescent="0.25">
      <c r="A32" s="89">
        <v>26</v>
      </c>
      <c r="B32" s="13" t="s">
        <v>9</v>
      </c>
      <c r="C32" s="44">
        <v>0</v>
      </c>
      <c r="D32" s="113">
        <f>C32/C44</f>
        <v>0</v>
      </c>
      <c r="E32" s="44">
        <f>'#1=- Flat'!E32</f>
        <v>0</v>
      </c>
      <c r="F32" s="26">
        <f>E32/E46</f>
        <v>0</v>
      </c>
      <c r="G32" s="15"/>
      <c r="H32" s="97"/>
      <c r="I32" s="78">
        <f>'#1=- Flat'!I32</f>
        <v>0</v>
      </c>
      <c r="J32" s="26">
        <f>I32/I44</f>
        <v>0</v>
      </c>
      <c r="K32" s="78">
        <f t="shared" si="2"/>
        <v>0</v>
      </c>
      <c r="L32" s="118">
        <f>K32/K44</f>
        <v>0</v>
      </c>
    </row>
    <row r="33" spans="1:12" x14ac:dyDescent="0.25">
      <c r="A33" s="89">
        <v>17</v>
      </c>
      <c r="B33" s="13" t="s">
        <v>15</v>
      </c>
      <c r="C33" s="44">
        <f>468</f>
        <v>468</v>
      </c>
      <c r="D33" s="113">
        <f>C33/C44</f>
        <v>7.7711173471929328E-5</v>
      </c>
      <c r="E33" s="44">
        <f>'#1=- Flat'!E33</f>
        <v>500</v>
      </c>
      <c r="F33" s="26">
        <f>E33/E46</f>
        <v>7.9399170596263952E-5</v>
      </c>
      <c r="G33" s="61">
        <f>279</f>
        <v>279</v>
      </c>
      <c r="H33" s="97">
        <v>500</v>
      </c>
      <c r="I33" s="78">
        <f>'#1=- Flat'!I33</f>
        <v>500</v>
      </c>
      <c r="J33" s="26">
        <f>I33/I44</f>
        <v>7.9399170596263952E-5</v>
      </c>
      <c r="K33" s="78">
        <f t="shared" si="2"/>
        <v>550</v>
      </c>
      <c r="L33" s="118">
        <f>K33/K44</f>
        <v>7.9399170596263952E-5</v>
      </c>
    </row>
    <row r="34" spans="1:12" x14ac:dyDescent="0.25">
      <c r="A34" s="89">
        <v>23</v>
      </c>
      <c r="B34" s="13" t="s">
        <v>12</v>
      </c>
      <c r="C34" s="44">
        <v>0</v>
      </c>
      <c r="D34" s="113">
        <f>C34/C44</f>
        <v>0</v>
      </c>
      <c r="E34" s="44">
        <f>'#1=- Flat'!E34</f>
        <v>0</v>
      </c>
      <c r="F34" s="26">
        <f>E34/E46</f>
        <v>0</v>
      </c>
      <c r="G34" s="15"/>
      <c r="H34" s="97"/>
      <c r="I34" s="78">
        <f>'#1=- Flat'!I34</f>
        <v>0</v>
      </c>
      <c r="J34" s="26">
        <f>I34/I44</f>
        <v>0</v>
      </c>
      <c r="K34" s="78">
        <f t="shared" si="2"/>
        <v>0</v>
      </c>
      <c r="L34" s="118">
        <f>K34/K44</f>
        <v>0</v>
      </c>
    </row>
    <row r="35" spans="1:12" x14ac:dyDescent="0.25">
      <c r="A35" s="89">
        <v>18</v>
      </c>
      <c r="B35" s="13" t="s">
        <v>34</v>
      </c>
      <c r="C35" s="44">
        <v>0</v>
      </c>
      <c r="D35" s="113">
        <f>C35/C44</f>
        <v>0</v>
      </c>
      <c r="E35" s="44">
        <f>'#1=- Flat'!E35</f>
        <v>0</v>
      </c>
      <c r="F35" s="26">
        <f>E35/E46</f>
        <v>0</v>
      </c>
      <c r="G35" s="61"/>
      <c r="H35" s="97"/>
      <c r="I35" s="78">
        <f>'#1=- Flat'!I35</f>
        <v>0</v>
      </c>
      <c r="J35" s="26">
        <f>I35/I44</f>
        <v>0</v>
      </c>
      <c r="K35" s="78">
        <f t="shared" si="2"/>
        <v>0</v>
      </c>
      <c r="L35" s="118">
        <f>K35/K44</f>
        <v>0</v>
      </c>
    </row>
    <row r="36" spans="1:12" x14ac:dyDescent="0.25">
      <c r="A36" s="89">
        <v>22</v>
      </c>
      <c r="B36" s="13" t="s">
        <v>29</v>
      </c>
      <c r="C36" s="44">
        <v>0</v>
      </c>
      <c r="D36" s="113">
        <f>C36/C44</f>
        <v>0</v>
      </c>
      <c r="E36" s="44">
        <f>'#1=- Flat'!E36</f>
        <v>0</v>
      </c>
      <c r="F36" s="26">
        <f>E36/E46</f>
        <v>0</v>
      </c>
      <c r="G36" s="61"/>
      <c r="H36" s="97"/>
      <c r="I36" s="78">
        <f>'#1=- Flat'!I36</f>
        <v>0</v>
      </c>
      <c r="J36" s="26">
        <f>I36/I44</f>
        <v>0</v>
      </c>
      <c r="K36" s="78">
        <f t="shared" si="2"/>
        <v>0</v>
      </c>
      <c r="L36" s="118">
        <f>K36/K44</f>
        <v>0</v>
      </c>
    </row>
    <row r="37" spans="1:12" x14ac:dyDescent="0.25">
      <c r="A37" s="89">
        <v>24</v>
      </c>
      <c r="B37" s="13" t="s">
        <v>14</v>
      </c>
      <c r="C37" s="44">
        <v>0</v>
      </c>
      <c r="D37" s="113">
        <f>C37/C44</f>
        <v>0</v>
      </c>
      <c r="E37" s="44">
        <f>'#1=- Flat'!E37</f>
        <v>0</v>
      </c>
      <c r="F37" s="26">
        <f>E37/E46</f>
        <v>0</v>
      </c>
      <c r="G37" s="61"/>
      <c r="H37" s="97"/>
      <c r="I37" s="78">
        <f>'#1=- Flat'!I37</f>
        <v>0</v>
      </c>
      <c r="J37" s="26">
        <f>I37/I44</f>
        <v>0</v>
      </c>
      <c r="K37" s="78">
        <f t="shared" si="2"/>
        <v>0</v>
      </c>
      <c r="L37" s="118">
        <f>K37/K44</f>
        <v>0</v>
      </c>
    </row>
    <row r="38" spans="1:12" ht="19.899999999999999" customHeight="1" x14ac:dyDescent="0.25">
      <c r="A38" s="89">
        <v>19</v>
      </c>
      <c r="B38" s="13" t="s">
        <v>10</v>
      </c>
      <c r="C38" s="44">
        <f>3499</f>
        <v>3499</v>
      </c>
      <c r="D38" s="113">
        <f>C38/C44</f>
        <v>5.8100725636384771E-4</v>
      </c>
      <c r="E38" s="44">
        <f>'#1=- Flat'!E38</f>
        <v>2400</v>
      </c>
      <c r="F38" s="26">
        <f>E38/E46</f>
        <v>3.8111601886206699E-4</v>
      </c>
      <c r="G38" s="61">
        <f>115</f>
        <v>115</v>
      </c>
      <c r="H38" s="97">
        <v>200</v>
      </c>
      <c r="I38" s="78">
        <f>'#1=- Flat'!I38</f>
        <v>2400</v>
      </c>
      <c r="J38" s="26">
        <f>I38/I44</f>
        <v>3.8111601886206699E-4</v>
      </c>
      <c r="K38" s="78">
        <f t="shared" si="2"/>
        <v>2640</v>
      </c>
      <c r="L38" s="118">
        <f>K38/K44</f>
        <v>3.8111601886206699E-4</v>
      </c>
    </row>
    <row r="39" spans="1:12" x14ac:dyDescent="0.25">
      <c r="A39" s="89">
        <f>29</f>
        <v>29</v>
      </c>
      <c r="B39" s="13" t="s">
        <v>17</v>
      </c>
      <c r="C39" s="44">
        <v>0</v>
      </c>
      <c r="D39" s="113">
        <f>C39/C44</f>
        <v>0</v>
      </c>
      <c r="E39" s="44">
        <f>'#1=- Flat'!E39</f>
        <v>0</v>
      </c>
      <c r="F39" s="26">
        <f>E39/E46</f>
        <v>0</v>
      </c>
      <c r="G39" s="61"/>
      <c r="H39" s="76"/>
      <c r="I39" s="78">
        <f>'#1=- Flat'!I39</f>
        <v>0</v>
      </c>
      <c r="J39" s="26">
        <f>I39/I44</f>
        <v>0</v>
      </c>
      <c r="K39" s="78">
        <f t="shared" si="2"/>
        <v>0</v>
      </c>
      <c r="L39" s="118">
        <f>K39/K44</f>
        <v>0</v>
      </c>
    </row>
    <row r="40" spans="1:12" ht="16.149999999999999" customHeight="1" x14ac:dyDescent="0.25">
      <c r="A40" s="89">
        <f>25</f>
        <v>25</v>
      </c>
      <c r="B40" s="20" t="s">
        <v>33</v>
      </c>
      <c r="C40" s="44">
        <v>0</v>
      </c>
      <c r="D40" s="113">
        <f>C40/C44</f>
        <v>0</v>
      </c>
      <c r="E40" s="44">
        <f>'#1=- Flat'!E40</f>
        <v>0</v>
      </c>
      <c r="F40" s="26">
        <f>E40/E46</f>
        <v>0</v>
      </c>
      <c r="G40" s="61"/>
      <c r="H40" s="76"/>
      <c r="I40" s="78">
        <f>'#1=- Flat'!I40</f>
        <v>0</v>
      </c>
      <c r="J40" s="26">
        <f>I40/I44</f>
        <v>0</v>
      </c>
      <c r="K40" s="78">
        <f t="shared" si="2"/>
        <v>0</v>
      </c>
      <c r="L40" s="118">
        <f>K40/K44</f>
        <v>0</v>
      </c>
    </row>
    <row r="41" spans="1:12" x14ac:dyDescent="0.25">
      <c r="A41" s="89">
        <v>27</v>
      </c>
      <c r="B41" s="13" t="s">
        <v>16</v>
      </c>
      <c r="C41" s="44">
        <v>0</v>
      </c>
      <c r="D41" s="113">
        <f>C41/C44</f>
        <v>0</v>
      </c>
      <c r="E41" s="44">
        <f>'#1=- Flat'!E41</f>
        <v>0</v>
      </c>
      <c r="F41" s="26">
        <f>E41/E46</f>
        <v>0</v>
      </c>
      <c r="G41" s="61"/>
      <c r="H41" s="76"/>
      <c r="I41" s="78">
        <f>'#1=- Flat'!I41</f>
        <v>0</v>
      </c>
      <c r="J41" s="26">
        <f>I41/I44</f>
        <v>0</v>
      </c>
      <c r="K41" s="78">
        <f t="shared" si="2"/>
        <v>0</v>
      </c>
      <c r="L41" s="118">
        <f>K41/K44</f>
        <v>0</v>
      </c>
    </row>
    <row r="42" spans="1:12" x14ac:dyDescent="0.25">
      <c r="B42" s="29" t="s">
        <v>3</v>
      </c>
      <c r="C42" s="45">
        <f>SUM(C23:C41)-(C24+C25+C26)</f>
        <v>740844</v>
      </c>
      <c r="D42" s="116">
        <f>C42/C44</f>
        <v>0.12301678760606413</v>
      </c>
      <c r="E42" s="57">
        <f>'#1=- Flat'!E42</f>
        <v>775766</v>
      </c>
      <c r="F42" s="17">
        <f>E42/E46</f>
        <v>0.12319035395356261</v>
      </c>
      <c r="G42" s="24"/>
      <c r="H42" s="25"/>
      <c r="I42" s="54">
        <f>'#1=- Flat'!I42</f>
        <v>775766</v>
      </c>
      <c r="J42" s="17">
        <f>I42/I44</f>
        <v>0.12319035395356261</v>
      </c>
      <c r="K42" s="54">
        <f>SUM(K23:K41) -K24-K25-K26</f>
        <v>853342.6</v>
      </c>
      <c r="L42" s="21">
        <f>SUM(L27:L41)+L23</f>
        <v>0.12319035395356262</v>
      </c>
    </row>
    <row r="43" spans="1:12" x14ac:dyDescent="0.25">
      <c r="B43" s="81" t="s">
        <v>28</v>
      </c>
      <c r="C43" s="86">
        <f>C44*0.25</f>
        <v>1505575</v>
      </c>
      <c r="D43" s="117">
        <f>C43/C44</f>
        <v>0.25</v>
      </c>
      <c r="E43" s="68">
        <f>'#1=- Flat'!E43</f>
        <v>1574323.75</v>
      </c>
      <c r="F43" s="117">
        <v>0.25</v>
      </c>
      <c r="G43" s="85"/>
      <c r="H43" s="87"/>
      <c r="I43" s="84">
        <f>'#1=- Flat'!I43</f>
        <v>1574323.75</v>
      </c>
      <c r="J43" s="117">
        <f>I43/I44</f>
        <v>0.25</v>
      </c>
      <c r="K43" s="84">
        <f>K46*0.25</f>
        <v>1731756.1250000002</v>
      </c>
      <c r="L43" s="117">
        <v>0.25</v>
      </c>
    </row>
    <row r="44" spans="1:12" x14ac:dyDescent="0.25">
      <c r="B44" s="42" t="s">
        <v>46</v>
      </c>
      <c r="C44" s="47">
        <f>C18+C42</f>
        <v>6022300</v>
      </c>
      <c r="D44" s="17">
        <v>1</v>
      </c>
      <c r="E44" s="57">
        <f>'#1=- Flat'!E44</f>
        <v>6297295</v>
      </c>
      <c r="F44" s="17">
        <v>1</v>
      </c>
      <c r="G44" s="24"/>
      <c r="H44" s="25"/>
      <c r="I44" s="58">
        <f>'#1=- Flat'!I44</f>
        <v>6297295</v>
      </c>
      <c r="J44" s="121">
        <v>1</v>
      </c>
      <c r="K44" s="58">
        <f>K18+K42</f>
        <v>6927024.5</v>
      </c>
      <c r="L44" s="17">
        <f>L18+L42</f>
        <v>1.0008752964566532</v>
      </c>
    </row>
    <row r="46" spans="1:12" x14ac:dyDescent="0.25">
      <c r="A46" s="28"/>
      <c r="B46" s="69" t="s">
        <v>47</v>
      </c>
      <c r="C46" s="72"/>
      <c r="D46" s="72"/>
      <c r="E46" s="47">
        <f>E18+E42</f>
        <v>6297295</v>
      </c>
      <c r="F46" s="24"/>
      <c r="G46" s="24"/>
      <c r="H46" s="25"/>
      <c r="I46" s="59">
        <f>'#1=- Flat'!I46</f>
        <v>6297295</v>
      </c>
      <c r="J46" s="59"/>
      <c r="K46" s="59">
        <f>I46*1.1</f>
        <v>6927024.5000000009</v>
      </c>
      <c r="L46" s="30">
        <v>1</v>
      </c>
    </row>
    <row r="47" spans="1:12" s="90" customFormat="1" ht="17.25" x14ac:dyDescent="0.2">
      <c r="A47" s="90" t="s">
        <v>59</v>
      </c>
      <c r="B47" s="92"/>
      <c r="C47" s="92"/>
      <c r="D47" s="92"/>
      <c r="G47" s="93"/>
    </row>
    <row r="48" spans="1:12" s="90" customFormat="1" ht="15" x14ac:dyDescent="0.2">
      <c r="A48" s="91" t="s">
        <v>68</v>
      </c>
      <c r="B48" s="92"/>
      <c r="C48" s="92"/>
      <c r="D48" s="92"/>
      <c r="G48" s="93"/>
    </row>
    <row r="49" spans="1:11" s="90" customFormat="1" ht="15" x14ac:dyDescent="0.2">
      <c r="A49" s="91" t="s">
        <v>50</v>
      </c>
      <c r="B49" s="105"/>
      <c r="C49" s="105"/>
      <c r="D49" s="105"/>
      <c r="E49" s="106"/>
      <c r="F49" s="106"/>
      <c r="G49" s="106"/>
      <c r="H49" s="106"/>
      <c r="I49" s="106"/>
      <c r="J49" s="106"/>
      <c r="K49" s="106"/>
    </row>
    <row r="50" spans="1:11" x14ac:dyDescent="0.25">
      <c r="G50" s="38"/>
      <c r="H50" s="25"/>
    </row>
    <row r="51" spans="1:11" x14ac:dyDescent="0.25">
      <c r="G51" s="38"/>
      <c r="H51" s="25"/>
    </row>
    <row r="52" spans="1:11" x14ac:dyDescent="0.25">
      <c r="G52" s="38"/>
      <c r="H52" s="25"/>
    </row>
    <row r="53" spans="1:11" x14ac:dyDescent="0.25">
      <c r="G53" s="38"/>
      <c r="H53" s="25"/>
    </row>
    <row r="54" spans="1:11" x14ac:dyDescent="0.25">
      <c r="G54" s="38"/>
      <c r="H54" s="25"/>
    </row>
    <row r="55" spans="1:11" x14ac:dyDescent="0.25">
      <c r="G55" s="38"/>
      <c r="H55" s="25"/>
    </row>
    <row r="56" spans="1:11" x14ac:dyDescent="0.25">
      <c r="G56" s="38"/>
      <c r="H56" s="25"/>
    </row>
    <row r="57" spans="1:11" x14ac:dyDescent="0.25">
      <c r="G57" s="38"/>
      <c r="H57" s="25"/>
    </row>
    <row r="58" spans="1:11" x14ac:dyDescent="0.25">
      <c r="G58" s="24"/>
      <c r="H58" s="25"/>
    </row>
    <row r="59" spans="1:11" x14ac:dyDescent="0.25">
      <c r="G59" s="24"/>
      <c r="H59" s="25"/>
    </row>
    <row r="60" spans="1:11" x14ac:dyDescent="0.25">
      <c r="G60" s="24"/>
      <c r="H60" s="25"/>
    </row>
    <row r="61" spans="1:11" x14ac:dyDescent="0.25">
      <c r="G61" s="24"/>
      <c r="H61" s="25"/>
    </row>
    <row r="62" spans="1:11" x14ac:dyDescent="0.25">
      <c r="G62" s="24"/>
      <c r="H62" s="25"/>
    </row>
    <row r="63" spans="1:11" x14ac:dyDescent="0.25">
      <c r="G63" s="24"/>
      <c r="H63" s="25"/>
    </row>
    <row r="64" spans="1:11" x14ac:dyDescent="0.25">
      <c r="G64" s="24"/>
      <c r="H64" s="25"/>
    </row>
  </sheetData>
  <mergeCells count="11">
    <mergeCell ref="A24:A26"/>
    <mergeCell ref="F24:F26"/>
    <mergeCell ref="K2:L2"/>
    <mergeCell ref="K20:L20"/>
    <mergeCell ref="A1:L1"/>
    <mergeCell ref="C2:D2"/>
    <mergeCell ref="C20:D20"/>
    <mergeCell ref="E2:F2"/>
    <mergeCell ref="E20:F20"/>
    <mergeCell ref="I2:J2"/>
    <mergeCell ref="I20:J20"/>
  </mergeCells>
  <phoneticPr fontId="2" type="noConversion"/>
  <printOptions horizontalCentered="1" gridLines="1"/>
  <pageMargins left="0.25" right="0.25" top="0.5" bottom="0.25" header="0.5" footer="0.5"/>
  <pageSetup scale="68" fitToHeight="2" orientation="landscape" r:id="rId1"/>
  <headerFooter alignWithMargins="0">
    <oddFooter>&amp;L&amp;8MD - +10%&amp;R&amp;8Page &amp;P</oddFooter>
  </headerFooter>
  <rowBreaks count="1" manualBreakCount="1">
    <brk id="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topLeftCell="A7" zoomScale="67" zoomScaleNormal="75" zoomScaleSheetLayoutView="67" workbookViewId="0">
      <selection activeCell="P20" sqref="P20"/>
    </sheetView>
  </sheetViews>
  <sheetFormatPr defaultRowHeight="15.75" x14ac:dyDescent="0.25"/>
  <cols>
    <col min="1" max="1" width="7.85546875" style="10" customWidth="1"/>
    <col min="2" max="2" width="42.5703125" style="32" customWidth="1"/>
    <col min="3" max="3" width="16.7109375" style="2" customWidth="1"/>
    <col min="4" max="4" width="10.5703125" style="2" customWidth="1"/>
    <col min="5" max="5" width="14.7109375" style="2" customWidth="1"/>
    <col min="6" max="6" width="10.5703125" style="2" customWidth="1"/>
    <col min="7" max="7" width="12.42578125" style="2" customWidth="1"/>
    <col min="8" max="8" width="16" style="2" customWidth="1"/>
    <col min="9" max="9" width="15.28515625" style="32" customWidth="1"/>
    <col min="10" max="10" width="11.140625" style="32" bestFit="1" customWidth="1"/>
    <col min="11" max="11" width="15.28515625" style="2" customWidth="1"/>
    <col min="12" max="12" width="10.140625" style="2" bestFit="1" customWidth="1"/>
    <col min="13" max="16384" width="9.140625" style="32"/>
  </cols>
  <sheetData>
    <row r="1" spans="1:12" ht="18" x14ac:dyDescent="0.2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94.5" customHeight="1" x14ac:dyDescent="0.25">
      <c r="A2" s="9"/>
      <c r="B2" s="7" t="s">
        <v>43</v>
      </c>
      <c r="C2" s="151" t="s">
        <v>58</v>
      </c>
      <c r="D2" s="151"/>
      <c r="E2" s="146" t="s">
        <v>64</v>
      </c>
      <c r="F2" s="147"/>
      <c r="G2" s="6" t="s">
        <v>62</v>
      </c>
      <c r="H2" s="6" t="s">
        <v>65</v>
      </c>
      <c r="I2" s="151" t="s">
        <v>66</v>
      </c>
      <c r="J2" s="151"/>
      <c r="K2" s="151" t="s">
        <v>53</v>
      </c>
      <c r="L2" s="151"/>
    </row>
    <row r="3" spans="1:12" ht="55.9" customHeight="1" x14ac:dyDescent="0.2">
      <c r="A3" s="41" t="s">
        <v>57</v>
      </c>
      <c r="B3" s="6" t="s">
        <v>13</v>
      </c>
      <c r="C3" s="6" t="s">
        <v>2</v>
      </c>
      <c r="D3" s="6" t="s">
        <v>49</v>
      </c>
      <c r="E3" s="7" t="s">
        <v>2</v>
      </c>
      <c r="F3" s="6" t="s">
        <v>49</v>
      </c>
      <c r="G3" s="6" t="s">
        <v>32</v>
      </c>
      <c r="H3" s="6" t="s">
        <v>48</v>
      </c>
      <c r="I3" s="6" t="s">
        <v>2</v>
      </c>
      <c r="J3" s="6" t="s">
        <v>49</v>
      </c>
      <c r="K3" s="6" t="s">
        <v>2</v>
      </c>
      <c r="L3" s="6" t="s">
        <v>49</v>
      </c>
    </row>
    <row r="4" spans="1:12" x14ac:dyDescent="0.25">
      <c r="B4" s="33" t="s">
        <v>4</v>
      </c>
      <c r="C4" s="7"/>
      <c r="D4" s="7"/>
      <c r="I4" s="34"/>
      <c r="J4" s="34"/>
      <c r="K4" s="11"/>
      <c r="L4" s="12"/>
    </row>
    <row r="5" spans="1:12" s="2" customFormat="1" x14ac:dyDescent="0.25">
      <c r="A5" s="89">
        <v>1</v>
      </c>
      <c r="B5" s="13" t="s">
        <v>21</v>
      </c>
      <c r="C5" s="66">
        <f>2506002</f>
        <v>2506002</v>
      </c>
      <c r="D5" s="112">
        <f>C5/C44</f>
        <v>0.41612041910897829</v>
      </c>
      <c r="E5" s="14">
        <f>'#1=- Flat'!E5</f>
        <v>2518037</v>
      </c>
      <c r="F5" s="26">
        <f>E5/E44</f>
        <v>0.39986009866140937</v>
      </c>
      <c r="G5" s="15">
        <f>1634</f>
        <v>1634</v>
      </c>
      <c r="H5" s="101">
        <v>1702.3465220165922</v>
      </c>
      <c r="I5" s="78">
        <f>'#1=- Flat'!I5</f>
        <v>2518037</v>
      </c>
      <c r="J5" s="26">
        <f>I5/I44</f>
        <v>0.39986009866140937</v>
      </c>
      <c r="K5" s="78">
        <f t="shared" ref="K5:K17" si="0">I5*0.9</f>
        <v>2266233.3000000003</v>
      </c>
      <c r="L5" s="26">
        <f>K5/K44</f>
        <v>0.39986009866140937</v>
      </c>
    </row>
    <row r="6" spans="1:12" s="2" customFormat="1" x14ac:dyDescent="0.25">
      <c r="A6" s="89">
        <v>2</v>
      </c>
      <c r="B6" s="13" t="s">
        <v>19</v>
      </c>
      <c r="C6" s="66">
        <v>0</v>
      </c>
      <c r="D6" s="112">
        <f>C6/C44</f>
        <v>0</v>
      </c>
      <c r="E6" s="14">
        <f>'#1=- Flat'!E6</f>
        <v>0</v>
      </c>
      <c r="F6" s="26">
        <f>E6/E44</f>
        <v>0</v>
      </c>
      <c r="G6" s="61"/>
      <c r="H6" s="97"/>
      <c r="I6" s="78">
        <f>'#1=- Flat'!I6</f>
        <v>0</v>
      </c>
      <c r="J6" s="26">
        <f>I6/I44</f>
        <v>0</v>
      </c>
      <c r="K6" s="78">
        <f t="shared" si="0"/>
        <v>0</v>
      </c>
      <c r="L6" s="118">
        <f>K6/K44</f>
        <v>0</v>
      </c>
    </row>
    <row r="7" spans="1:12" s="2" customFormat="1" x14ac:dyDescent="0.25">
      <c r="A7" s="89">
        <f>4</f>
        <v>4</v>
      </c>
      <c r="B7" s="22" t="s">
        <v>20</v>
      </c>
      <c r="C7" s="66">
        <f>848960</f>
        <v>848960</v>
      </c>
      <c r="D7" s="112">
        <f>C7/C44</f>
        <v>0.14096939707420753</v>
      </c>
      <c r="E7" s="14">
        <f>'#1=- Flat'!E7</f>
        <v>765987</v>
      </c>
      <c r="F7" s="26">
        <f>E7/E44</f>
        <v>0.12163746497504087</v>
      </c>
      <c r="G7" s="15">
        <f>609</f>
        <v>609</v>
      </c>
      <c r="H7" s="97">
        <v>1057.0303413400759</v>
      </c>
      <c r="I7" s="78">
        <f>'#1=- Flat'!I7</f>
        <v>765987</v>
      </c>
      <c r="J7" s="26">
        <f>I7/I44</f>
        <v>0.12163746497504087</v>
      </c>
      <c r="K7" s="78">
        <f t="shared" si="0"/>
        <v>689388.3</v>
      </c>
      <c r="L7" s="26">
        <f>K7/K44</f>
        <v>0.12163746497504085</v>
      </c>
    </row>
    <row r="8" spans="1:12" s="2" customFormat="1" x14ac:dyDescent="0.25">
      <c r="A8" s="89">
        <f>3</f>
        <v>3</v>
      </c>
      <c r="B8" s="2" t="s">
        <v>5</v>
      </c>
      <c r="C8" s="44">
        <f>1182137</f>
        <v>1182137</v>
      </c>
      <c r="D8" s="113">
        <f>C8/C44</f>
        <v>0.19629327665509855</v>
      </c>
      <c r="E8" s="14">
        <f>'#1=- Flat'!E8</f>
        <v>1321259</v>
      </c>
      <c r="F8" s="26">
        <f>E8/E44</f>
        <v>0.20981373748569823</v>
      </c>
      <c r="G8" s="15">
        <f>1976</f>
        <v>1976</v>
      </c>
      <c r="H8" s="97">
        <v>899.2580831408776</v>
      </c>
      <c r="I8" s="78">
        <f>'#1=- Flat'!I8</f>
        <v>1321259</v>
      </c>
      <c r="J8" s="26">
        <f>I8/I44</f>
        <v>0.20981373748569823</v>
      </c>
      <c r="K8" s="78">
        <f t="shared" si="0"/>
        <v>1189133.1000000001</v>
      </c>
      <c r="L8" s="26">
        <f>K8/K44</f>
        <v>0.2098137374856982</v>
      </c>
    </row>
    <row r="9" spans="1:12" s="2" customFormat="1" x14ac:dyDescent="0.25">
      <c r="A9" s="89">
        <f>7</f>
        <v>7</v>
      </c>
      <c r="B9" s="13" t="s">
        <v>31</v>
      </c>
      <c r="C9" s="44">
        <f>104591</f>
        <v>104591</v>
      </c>
      <c r="D9" s="113">
        <f>C9/C44</f>
        <v>1.7367284924364446E-2</v>
      </c>
      <c r="E9" s="14">
        <f>'#1=- Flat'!E9</f>
        <v>104153</v>
      </c>
      <c r="F9" s="26">
        <f>E9/E44</f>
        <v>1.653932363022536E-2</v>
      </c>
      <c r="G9" s="15">
        <f>168</f>
        <v>168</v>
      </c>
      <c r="H9" s="97">
        <v>1062.7857142857142</v>
      </c>
      <c r="I9" s="78">
        <f>'#1=- Flat'!I9</f>
        <v>104153</v>
      </c>
      <c r="J9" s="26">
        <f>I9/I44</f>
        <v>1.653932363022536E-2</v>
      </c>
      <c r="K9" s="78">
        <f t="shared" si="0"/>
        <v>93737.7</v>
      </c>
      <c r="L9" s="26">
        <f>K9/K44</f>
        <v>1.6539323630225356E-2</v>
      </c>
    </row>
    <row r="10" spans="1:12" s="2" customFormat="1" x14ac:dyDescent="0.25">
      <c r="A10" s="89">
        <f>5</f>
        <v>5</v>
      </c>
      <c r="B10" s="13" t="s">
        <v>0</v>
      </c>
      <c r="C10" s="44">
        <f>301495</f>
        <v>301495</v>
      </c>
      <c r="D10" s="113">
        <f>C10/C44</f>
        <v>5.006309881606695E-2</v>
      </c>
      <c r="E10" s="14">
        <f>'#1=- Flat'!E10</f>
        <v>344700</v>
      </c>
      <c r="F10" s="26">
        <f>E10/E44</f>
        <v>5.4737788209064366E-2</v>
      </c>
      <c r="G10" s="15">
        <f>445</f>
        <v>445</v>
      </c>
      <c r="H10" s="97">
        <v>1340.0066225165563</v>
      </c>
      <c r="I10" s="78">
        <f>'#1=- Flat'!I10</f>
        <v>344700</v>
      </c>
      <c r="J10" s="26">
        <f>I10/I44</f>
        <v>5.4737788209064366E-2</v>
      </c>
      <c r="K10" s="78">
        <f t="shared" si="0"/>
        <v>310230</v>
      </c>
      <c r="L10" s="118">
        <f>K10/K44</f>
        <v>5.4737788209064359E-2</v>
      </c>
    </row>
    <row r="11" spans="1:12" s="2" customFormat="1" ht="15" customHeight="1" x14ac:dyDescent="0.25">
      <c r="A11" s="89">
        <v>6</v>
      </c>
      <c r="B11" s="13" t="s">
        <v>30</v>
      </c>
      <c r="C11" s="44">
        <f>135225</f>
        <v>135225</v>
      </c>
      <c r="D11" s="113">
        <f>C11/C44</f>
        <v>2.2454045796456504E-2</v>
      </c>
      <c r="E11" s="14">
        <f>'#1=- Flat'!E11</f>
        <v>171437</v>
      </c>
      <c r="F11" s="26">
        <f>E11/E44</f>
        <v>2.7223911219023407E-2</v>
      </c>
      <c r="G11" s="62">
        <f>193</f>
        <v>193</v>
      </c>
      <c r="H11" s="97">
        <v>1393.7967479674796</v>
      </c>
      <c r="I11" s="78">
        <f>'#1=- Flat'!I11</f>
        <v>171437</v>
      </c>
      <c r="J11" s="26">
        <f>I11/I44</f>
        <v>2.7223911219023407E-2</v>
      </c>
      <c r="K11" s="78">
        <f t="shared" si="0"/>
        <v>154293.30000000002</v>
      </c>
      <c r="L11" s="118">
        <f>K11/K44</f>
        <v>2.7223911219023404E-2</v>
      </c>
    </row>
    <row r="12" spans="1:12" s="2" customFormat="1" ht="15" customHeight="1" x14ac:dyDescent="0.25">
      <c r="A12" s="89">
        <f>14</f>
        <v>14</v>
      </c>
      <c r="B12" s="13" t="s">
        <v>22</v>
      </c>
      <c r="C12" s="66">
        <f>200240</f>
        <v>200240</v>
      </c>
      <c r="D12" s="112">
        <f>C12/C44</f>
        <v>3.3249755076963948E-2</v>
      </c>
      <c r="E12" s="14">
        <f>'#1=- Flat'!E12</f>
        <v>194348</v>
      </c>
      <c r="F12" s="26">
        <f>E12/E44</f>
        <v>3.0862140014085413E-2</v>
      </c>
      <c r="G12" s="15">
        <f>642</f>
        <v>642</v>
      </c>
      <c r="H12" s="97">
        <v>468.30843373493974</v>
      </c>
      <c r="I12" s="78">
        <f>'#1=- Flat'!I12</f>
        <v>194348</v>
      </c>
      <c r="J12" s="26">
        <f>I12/I44</f>
        <v>3.0862140014085413E-2</v>
      </c>
      <c r="K12" s="78">
        <f t="shared" si="0"/>
        <v>174913.2</v>
      </c>
      <c r="L12" s="118">
        <f>K12/K44</f>
        <v>3.086214001408541E-2</v>
      </c>
    </row>
    <row r="13" spans="1:12" s="2" customFormat="1" x14ac:dyDescent="0.25">
      <c r="A13" s="89">
        <v>9</v>
      </c>
      <c r="B13" s="13" t="s">
        <v>6</v>
      </c>
      <c r="C13" s="66">
        <v>0</v>
      </c>
      <c r="D13" s="112">
        <f>C13/C44</f>
        <v>0</v>
      </c>
      <c r="E13" s="14">
        <f>'#1=- Flat'!E13</f>
        <v>96096</v>
      </c>
      <c r="F13" s="26">
        <f>E13/E44</f>
        <v>1.5259885395237162E-2</v>
      </c>
      <c r="G13" s="15"/>
      <c r="H13" s="97"/>
      <c r="I13" s="78">
        <f>'#1=- Flat'!I13</f>
        <v>96096</v>
      </c>
      <c r="J13" s="26">
        <f>I13/I44</f>
        <v>1.5259885395237162E-2</v>
      </c>
      <c r="K13" s="78">
        <f t="shared" si="0"/>
        <v>86486.400000000009</v>
      </c>
      <c r="L13" s="118">
        <f>K13/K44</f>
        <v>1.525988539523716E-2</v>
      </c>
    </row>
    <row r="14" spans="1:12" s="2" customFormat="1" x14ac:dyDescent="0.25">
      <c r="A14" s="89">
        <v>12</v>
      </c>
      <c r="B14" s="13" t="s">
        <v>23</v>
      </c>
      <c r="C14" s="66">
        <f>2806</f>
        <v>2806</v>
      </c>
      <c r="D14" s="112">
        <f>C14/C44</f>
        <v>4.6593494179964466E-4</v>
      </c>
      <c r="E14" s="14">
        <f>'#1=- Flat'!E14</f>
        <v>5512</v>
      </c>
      <c r="F14" s="26">
        <f>E14/E44</f>
        <v>8.7529645665321385E-4</v>
      </c>
      <c r="G14" s="15">
        <f>30</f>
        <v>30</v>
      </c>
      <c r="H14" s="97">
        <v>275.60000000000002</v>
      </c>
      <c r="I14" s="78">
        <f>'#1=- Flat'!I14</f>
        <v>5512</v>
      </c>
      <c r="J14" s="26">
        <f>I14/I44</f>
        <v>8.7529645665321385E-4</v>
      </c>
      <c r="K14" s="78">
        <f t="shared" si="0"/>
        <v>4960.8</v>
      </c>
      <c r="L14" s="26">
        <f>K14/K44</f>
        <v>8.7529645665321374E-4</v>
      </c>
    </row>
    <row r="15" spans="1:12" s="2" customFormat="1" x14ac:dyDescent="0.25">
      <c r="A15" s="89">
        <v>21</v>
      </c>
      <c r="B15" s="13" t="s">
        <v>7</v>
      </c>
      <c r="C15" s="67">
        <v>0</v>
      </c>
      <c r="D15" s="26">
        <f>C15/C44</f>
        <v>0</v>
      </c>
      <c r="E15" s="14">
        <f>'#1=- Flat'!E15</f>
        <v>0</v>
      </c>
      <c r="F15" s="26">
        <f>E15/E44</f>
        <v>0</v>
      </c>
      <c r="G15" s="61"/>
      <c r="H15" s="76"/>
      <c r="I15" s="78">
        <f>'#1=- Flat'!I15</f>
        <v>0</v>
      </c>
      <c r="J15" s="26">
        <f>I15/I44</f>
        <v>0</v>
      </c>
      <c r="K15" s="78">
        <f t="shared" si="0"/>
        <v>0</v>
      </c>
      <c r="L15" s="118">
        <f>K15/K44</f>
        <v>0</v>
      </c>
    </row>
    <row r="16" spans="1:12" x14ac:dyDescent="0.25">
      <c r="A16" s="89">
        <f>26</f>
        <v>26</v>
      </c>
      <c r="B16" s="23" t="s">
        <v>8</v>
      </c>
      <c r="C16" s="67">
        <v>0</v>
      </c>
      <c r="D16" s="26">
        <f>C16/C44</f>
        <v>0</v>
      </c>
      <c r="E16" s="14">
        <f>'#1=- Flat'!E16</f>
        <v>0</v>
      </c>
      <c r="F16" s="26">
        <f>E16/E44</f>
        <v>0</v>
      </c>
      <c r="G16" s="61"/>
      <c r="H16" s="76"/>
      <c r="I16" s="78">
        <f>'#1=- Flat'!I16</f>
        <v>0</v>
      </c>
      <c r="J16" s="26">
        <f>I16/I44</f>
        <v>0</v>
      </c>
      <c r="K16" s="78">
        <f t="shared" si="0"/>
        <v>0</v>
      </c>
      <c r="L16" s="118">
        <f>K16/K44</f>
        <v>0</v>
      </c>
    </row>
    <row r="17" spans="1:12" x14ac:dyDescent="0.25">
      <c r="A17" s="89">
        <v>20</v>
      </c>
      <c r="B17" s="13" t="s">
        <v>24</v>
      </c>
      <c r="C17" s="67">
        <v>0</v>
      </c>
      <c r="D17" s="26">
        <f>C17/C44</f>
        <v>0</v>
      </c>
      <c r="E17" s="14">
        <f>'#1=- Flat'!E17</f>
        <v>0</v>
      </c>
      <c r="F17" s="26">
        <f>E17/E44</f>
        <v>0</v>
      </c>
      <c r="G17" s="61"/>
      <c r="H17" s="76"/>
      <c r="I17" s="78">
        <f>'#1=- Flat'!I17</f>
        <v>0</v>
      </c>
      <c r="J17" s="26">
        <f>I17/I44</f>
        <v>0</v>
      </c>
      <c r="K17" s="78">
        <f t="shared" si="0"/>
        <v>0</v>
      </c>
      <c r="L17" s="26">
        <f>K17/K44</f>
        <v>0</v>
      </c>
    </row>
    <row r="18" spans="1:12" x14ac:dyDescent="0.25">
      <c r="B18" s="39" t="s">
        <v>1</v>
      </c>
      <c r="C18" s="43">
        <f>SUM(C5:C17)</f>
        <v>5281456</v>
      </c>
      <c r="D18" s="17">
        <f>C18/C44</f>
        <v>0.87698321239393584</v>
      </c>
      <c r="E18" s="43">
        <f>'#1=- Flat'!E18</f>
        <v>5521529</v>
      </c>
      <c r="F18" s="17">
        <f>E18/E44</f>
        <v>0.87680964604643741</v>
      </c>
      <c r="G18" s="38"/>
      <c r="H18" s="25"/>
      <c r="I18" s="55">
        <f>SUM(I5:I17)</f>
        <v>5521529</v>
      </c>
      <c r="J18" s="21">
        <f>I18/I44</f>
        <v>0.87680964604643741</v>
      </c>
      <c r="K18" s="54">
        <f>SUM(K5:K17)</f>
        <v>4969376.1000000006</v>
      </c>
      <c r="L18" s="17">
        <f>SUM(L5:L17)</f>
        <v>0.87680964604643741</v>
      </c>
    </row>
    <row r="19" spans="1:12" s="111" customFormat="1" ht="15" x14ac:dyDescent="0.2">
      <c r="A19" s="48"/>
      <c r="B19" s="109" t="s">
        <v>27</v>
      </c>
      <c r="C19" s="74">
        <f>C44*0.75</f>
        <v>4516725</v>
      </c>
      <c r="D19" s="119">
        <f>C19/C44</f>
        <v>0.75</v>
      </c>
      <c r="E19" s="49">
        <f>'#1=- Flat'!E19</f>
        <v>4722971.25</v>
      </c>
      <c r="F19" s="114">
        <v>0.75</v>
      </c>
      <c r="G19" s="110"/>
      <c r="H19" s="60"/>
      <c r="I19" s="56">
        <f>(0.75*I46)</f>
        <v>4722971.25</v>
      </c>
      <c r="J19" s="120">
        <f>I19/I44</f>
        <v>0.75</v>
      </c>
      <c r="K19" s="56">
        <f>K46*0.75</f>
        <v>4250674.125</v>
      </c>
      <c r="L19" s="114">
        <v>0.75</v>
      </c>
    </row>
    <row r="20" spans="1:12" ht="76.150000000000006" customHeight="1" x14ac:dyDescent="0.25">
      <c r="A20" s="9"/>
      <c r="B20" s="7" t="s">
        <v>43</v>
      </c>
      <c r="C20" s="151" t="s">
        <v>58</v>
      </c>
      <c r="D20" s="151"/>
      <c r="E20" s="146" t="s">
        <v>64</v>
      </c>
      <c r="F20" s="147"/>
      <c r="G20" s="6" t="s">
        <v>62</v>
      </c>
      <c r="H20" s="6" t="s">
        <v>65</v>
      </c>
      <c r="I20" s="151" t="s">
        <v>66</v>
      </c>
      <c r="J20" s="151"/>
      <c r="K20" s="151" t="s">
        <v>53</v>
      </c>
      <c r="L20" s="151"/>
    </row>
    <row r="21" spans="1:12" ht="63" x14ac:dyDescent="0.2">
      <c r="A21" s="41" t="s">
        <v>57</v>
      </c>
      <c r="B21" s="6" t="s">
        <v>13</v>
      </c>
      <c r="C21" s="6" t="s">
        <v>2</v>
      </c>
      <c r="D21" s="6" t="s">
        <v>49</v>
      </c>
      <c r="E21" s="7" t="s">
        <v>2</v>
      </c>
      <c r="F21" s="6" t="s">
        <v>49</v>
      </c>
      <c r="G21" s="6" t="s">
        <v>32</v>
      </c>
      <c r="H21" s="6" t="s">
        <v>48</v>
      </c>
      <c r="I21" s="6" t="s">
        <v>2</v>
      </c>
      <c r="J21" s="6" t="s">
        <v>49</v>
      </c>
      <c r="K21" s="6" t="s">
        <v>2</v>
      </c>
      <c r="L21" s="6" t="s">
        <v>49</v>
      </c>
    </row>
    <row r="22" spans="1:12" s="2" customFormat="1" x14ac:dyDescent="0.25">
      <c r="A22" s="10"/>
      <c r="B22" s="7" t="s">
        <v>44</v>
      </c>
      <c r="C22" s="7"/>
      <c r="D22" s="7"/>
      <c r="L22" s="11"/>
    </row>
    <row r="23" spans="1:12" x14ac:dyDescent="0.25">
      <c r="A23" s="89">
        <v>11</v>
      </c>
      <c r="B23" s="13" t="s">
        <v>36</v>
      </c>
      <c r="C23" s="44">
        <f>148316</f>
        <v>148316</v>
      </c>
      <c r="D23" s="113">
        <f>C23/C44</f>
        <v>2.462780000996297E-2</v>
      </c>
      <c r="E23" s="44">
        <f>'#1=- Flat'!E23</f>
        <v>172586</v>
      </c>
      <c r="F23" s="118">
        <f>E23/E44</f>
        <v>2.740637051305362E-2</v>
      </c>
      <c r="G23" s="64">
        <f>486</f>
        <v>486</v>
      </c>
      <c r="H23" s="97">
        <v>585.03728813559326</v>
      </c>
      <c r="I23" s="44">
        <f>'#1=- Flat'!I23</f>
        <v>172586</v>
      </c>
      <c r="J23" s="122">
        <f>I23/I44</f>
        <v>2.740637051305362E-2</v>
      </c>
      <c r="K23" s="78">
        <f t="shared" ref="K23:K41" si="1">I23*0.9</f>
        <v>155327.4</v>
      </c>
      <c r="L23" s="118">
        <f>K23/K44</f>
        <v>2.7406370513053616E-2</v>
      </c>
    </row>
    <row r="24" spans="1:12" ht="15.75" customHeight="1" x14ac:dyDescent="0.2">
      <c r="A24" s="149" t="s">
        <v>45</v>
      </c>
      <c r="B24" s="27" t="s">
        <v>37</v>
      </c>
      <c r="C24" s="68">
        <f>18634</f>
        <v>18634</v>
      </c>
      <c r="D24" s="115">
        <f>C24/C44</f>
        <v>3.0941666805041263E-3</v>
      </c>
      <c r="E24" s="44">
        <f>'#1=- Flat'!E24</f>
        <v>0</v>
      </c>
      <c r="F24" s="150"/>
      <c r="G24" s="64"/>
      <c r="H24" s="97"/>
      <c r="I24" s="44">
        <f>'#1=- Flat'!I24</f>
        <v>0</v>
      </c>
      <c r="J24" s="122">
        <f>I24/I44</f>
        <v>0</v>
      </c>
      <c r="K24" s="78">
        <f t="shared" si="1"/>
        <v>0</v>
      </c>
      <c r="L24" s="118">
        <f>K24/K44</f>
        <v>0</v>
      </c>
    </row>
    <row r="25" spans="1:12" ht="15" x14ac:dyDescent="0.2">
      <c r="A25" s="149"/>
      <c r="B25" s="27" t="s">
        <v>38</v>
      </c>
      <c r="C25" s="68">
        <f>44367</f>
        <v>44367</v>
      </c>
      <c r="D25" s="115">
        <f>C25/C44</f>
        <v>7.3671188748484799E-3</v>
      </c>
      <c r="E25" s="44">
        <f>'#1=- Flat'!E25</f>
        <v>0</v>
      </c>
      <c r="F25" s="150"/>
      <c r="G25" s="64"/>
      <c r="H25" s="97"/>
      <c r="I25" s="44">
        <f>'#1=- Flat'!I25</f>
        <v>0</v>
      </c>
      <c r="J25" s="122">
        <f>I25/I44</f>
        <v>0</v>
      </c>
      <c r="K25" s="78">
        <f t="shared" si="1"/>
        <v>0</v>
      </c>
      <c r="L25" s="118">
        <f>K25/K44</f>
        <v>0</v>
      </c>
    </row>
    <row r="26" spans="1:12" ht="15" x14ac:dyDescent="0.2">
      <c r="A26" s="149"/>
      <c r="B26" s="27" t="s">
        <v>40</v>
      </c>
      <c r="C26" s="68">
        <f>85315</f>
        <v>85315</v>
      </c>
      <c r="D26" s="115">
        <f>C26/C44</f>
        <v>1.4166514454610365E-2</v>
      </c>
      <c r="E26" s="44">
        <f>'#1=- Flat'!E26</f>
        <v>0</v>
      </c>
      <c r="F26" s="150"/>
      <c r="G26" s="64"/>
      <c r="H26" s="97"/>
      <c r="I26" s="44">
        <f>'#1=- Flat'!I26</f>
        <v>0</v>
      </c>
      <c r="J26" s="122">
        <f>I26/I44</f>
        <v>0</v>
      </c>
      <c r="K26" s="78">
        <f t="shared" si="1"/>
        <v>0</v>
      </c>
      <c r="L26" s="118">
        <f>K26/K44</f>
        <v>0</v>
      </c>
    </row>
    <row r="27" spans="1:12" ht="15" customHeight="1" x14ac:dyDescent="0.25">
      <c r="A27" s="89">
        <f>13</f>
        <v>13</v>
      </c>
      <c r="B27" s="13" t="s">
        <v>26</v>
      </c>
      <c r="C27" s="44">
        <f>57033</f>
        <v>57033</v>
      </c>
      <c r="D27" s="113">
        <f>C27/C44</f>
        <v>9.4703020440695413E-3</v>
      </c>
      <c r="E27" s="44">
        <f>'#1=- Flat'!E27</f>
        <v>46926</v>
      </c>
      <c r="F27" s="26">
        <f>E27/E44</f>
        <v>7.451770958800564E-3</v>
      </c>
      <c r="G27" s="61"/>
      <c r="H27" s="97">
        <v>330.60264900662253</v>
      </c>
      <c r="I27" s="44">
        <f>'#1=- Flat'!I27</f>
        <v>46926</v>
      </c>
      <c r="J27" s="122">
        <f>I27/I44</f>
        <v>7.451770958800564E-3</v>
      </c>
      <c r="K27" s="78">
        <f t="shared" si="1"/>
        <v>42233.4</v>
      </c>
      <c r="L27" s="118">
        <f>K27/K44</f>
        <v>7.4517709588005632E-3</v>
      </c>
    </row>
    <row r="28" spans="1:12" ht="15" customHeight="1" x14ac:dyDescent="0.25">
      <c r="A28" s="89">
        <v>15</v>
      </c>
      <c r="B28" s="13" t="s">
        <v>25</v>
      </c>
      <c r="C28" s="66">
        <f>375148</f>
        <v>375148</v>
      </c>
      <c r="D28" s="112">
        <f>C28/C44</f>
        <v>6.2293143815485778E-2</v>
      </c>
      <c r="E28" s="44">
        <f>'#1=- Flat'!E28</f>
        <v>375148</v>
      </c>
      <c r="F28" s="26">
        <f>E28/E44</f>
        <v>5.957288010169446E-2</v>
      </c>
      <c r="G28" s="61">
        <f>328</f>
        <v>328</v>
      </c>
      <c r="H28" s="97">
        <v>1100.1407624633432</v>
      </c>
      <c r="I28" s="44">
        <f>'#1=- Flat'!I28</f>
        <v>375148</v>
      </c>
      <c r="J28" s="122">
        <f>I28/I44</f>
        <v>5.957288010169446E-2</v>
      </c>
      <c r="K28" s="78">
        <f t="shared" si="1"/>
        <v>337633.2</v>
      </c>
      <c r="L28" s="118">
        <f>K28/K44</f>
        <v>5.9572880101694453E-2</v>
      </c>
    </row>
    <row r="29" spans="1:12" s="2" customFormat="1" x14ac:dyDescent="0.25">
      <c r="A29" s="89">
        <v>10</v>
      </c>
      <c r="B29" s="13" t="s">
        <v>35</v>
      </c>
      <c r="C29" s="44">
        <f>156380</f>
        <v>156380</v>
      </c>
      <c r="D29" s="113">
        <f>C29/C44</f>
        <v>2.596682330671006E-2</v>
      </c>
      <c r="E29" s="44">
        <f>'#1=- Flat'!E29</f>
        <v>178206</v>
      </c>
      <c r="F29" s="26">
        <f>E29/E44</f>
        <v>2.8298817190555627E-2</v>
      </c>
      <c r="G29" s="61">
        <f>286</f>
        <v>286</v>
      </c>
      <c r="H29" s="97">
        <v>806.3619909502263</v>
      </c>
      <c r="I29" s="44">
        <f>'#1=- Flat'!I29</f>
        <v>178206</v>
      </c>
      <c r="J29" s="122">
        <f>I29/I44</f>
        <v>2.8298817190555627E-2</v>
      </c>
      <c r="K29" s="78">
        <f t="shared" si="1"/>
        <v>160385.4</v>
      </c>
      <c r="L29" s="118">
        <f>K29/K44</f>
        <v>2.829881719055562E-2</v>
      </c>
    </row>
    <row r="30" spans="1:12" x14ac:dyDescent="0.25">
      <c r="A30" s="89">
        <v>8</v>
      </c>
      <c r="B30" s="13" t="s">
        <v>11</v>
      </c>
      <c r="C30" s="44">
        <v>0</v>
      </c>
      <c r="D30" s="113">
        <f>C30/C44</f>
        <v>0</v>
      </c>
      <c r="E30" s="44">
        <f>'#1=- Flat'!E30</f>
        <v>0</v>
      </c>
      <c r="F30" s="26">
        <f>E30/E44</f>
        <v>0</v>
      </c>
      <c r="G30" s="15"/>
      <c r="H30" s="97"/>
      <c r="I30" s="44">
        <f>'#1=- Flat'!I30</f>
        <v>0</v>
      </c>
      <c r="J30" s="122">
        <f>I30/I44</f>
        <v>0</v>
      </c>
      <c r="K30" s="78">
        <f t="shared" si="1"/>
        <v>0</v>
      </c>
      <c r="L30" s="118">
        <f>K30/K44</f>
        <v>0</v>
      </c>
    </row>
    <row r="31" spans="1:12" x14ac:dyDescent="0.25">
      <c r="A31" s="89">
        <v>16</v>
      </c>
      <c r="B31" s="13" t="s">
        <v>18</v>
      </c>
      <c r="C31" s="44">
        <v>0</v>
      </c>
      <c r="D31" s="113">
        <f>C31/C44</f>
        <v>0</v>
      </c>
      <c r="E31" s="44">
        <f>'#1=- Flat'!E31</f>
        <v>0</v>
      </c>
      <c r="F31" s="26">
        <f>E31/E44</f>
        <v>0</v>
      </c>
      <c r="G31" s="15"/>
      <c r="H31" s="97"/>
      <c r="I31" s="44">
        <f>'#1=- Flat'!I31</f>
        <v>0</v>
      </c>
      <c r="J31" s="122">
        <f>I31/I44</f>
        <v>0</v>
      </c>
      <c r="K31" s="78">
        <f t="shared" si="1"/>
        <v>0</v>
      </c>
      <c r="L31" s="118">
        <f>K31/K44</f>
        <v>0</v>
      </c>
    </row>
    <row r="32" spans="1:12" s="2" customFormat="1" x14ac:dyDescent="0.25">
      <c r="A32" s="89">
        <v>26</v>
      </c>
      <c r="B32" s="13" t="s">
        <v>9</v>
      </c>
      <c r="C32" s="44">
        <v>0</v>
      </c>
      <c r="D32" s="113">
        <f>C32/C44</f>
        <v>0</v>
      </c>
      <c r="E32" s="44">
        <f>'#1=- Flat'!E32</f>
        <v>0</v>
      </c>
      <c r="F32" s="26">
        <f>E32/E44</f>
        <v>0</v>
      </c>
      <c r="G32" s="15"/>
      <c r="H32" s="97"/>
      <c r="I32" s="44">
        <f>'#1=- Flat'!I32</f>
        <v>0</v>
      </c>
      <c r="J32" s="122">
        <f>I32/I44</f>
        <v>0</v>
      </c>
      <c r="K32" s="78">
        <f t="shared" si="1"/>
        <v>0</v>
      </c>
      <c r="L32" s="118">
        <f>K32/K44</f>
        <v>0</v>
      </c>
    </row>
    <row r="33" spans="1:12" x14ac:dyDescent="0.25">
      <c r="A33" s="89">
        <v>17</v>
      </c>
      <c r="B33" s="13" t="s">
        <v>15</v>
      </c>
      <c r="C33" s="44">
        <f>468</f>
        <v>468</v>
      </c>
      <c r="D33" s="113">
        <f>C33/C44</f>
        <v>7.7711173471929328E-5</v>
      </c>
      <c r="E33" s="44">
        <f>'#1=- Flat'!E33</f>
        <v>500</v>
      </c>
      <c r="F33" s="26">
        <f>E33/E44</f>
        <v>7.9399170596263952E-5</v>
      </c>
      <c r="G33" s="61">
        <f>279</f>
        <v>279</v>
      </c>
      <c r="H33" s="97">
        <v>500</v>
      </c>
      <c r="I33" s="44">
        <f>'#1=- Flat'!I33</f>
        <v>500</v>
      </c>
      <c r="J33" s="122">
        <f>I33/I44</f>
        <v>7.9399170596263952E-5</v>
      </c>
      <c r="K33" s="78">
        <f t="shared" si="1"/>
        <v>450</v>
      </c>
      <c r="L33" s="118">
        <f>K33/K44</f>
        <v>7.9399170596263939E-5</v>
      </c>
    </row>
    <row r="34" spans="1:12" x14ac:dyDescent="0.25">
      <c r="A34" s="89">
        <v>23</v>
      </c>
      <c r="B34" s="13" t="s">
        <v>12</v>
      </c>
      <c r="C34" s="44">
        <v>0</v>
      </c>
      <c r="D34" s="113">
        <f>C34/C44</f>
        <v>0</v>
      </c>
      <c r="E34" s="44">
        <f>'#1=- Flat'!E34</f>
        <v>0</v>
      </c>
      <c r="F34" s="26">
        <f>E34/E44</f>
        <v>0</v>
      </c>
      <c r="G34" s="15"/>
      <c r="H34" s="97"/>
      <c r="I34" s="44">
        <f>'#1=- Flat'!I34</f>
        <v>0</v>
      </c>
      <c r="J34" s="122">
        <f>I34/I44</f>
        <v>0</v>
      </c>
      <c r="K34" s="78">
        <f t="shared" si="1"/>
        <v>0</v>
      </c>
      <c r="L34" s="118">
        <f>K34/K44</f>
        <v>0</v>
      </c>
    </row>
    <row r="35" spans="1:12" x14ac:dyDescent="0.25">
      <c r="A35" s="89">
        <v>18</v>
      </c>
      <c r="B35" s="13" t="s">
        <v>34</v>
      </c>
      <c r="C35" s="44">
        <v>0</v>
      </c>
      <c r="D35" s="113">
        <f>C35/C44</f>
        <v>0</v>
      </c>
      <c r="E35" s="44">
        <f>'#1=- Flat'!E35</f>
        <v>0</v>
      </c>
      <c r="F35" s="26">
        <f>E35/E44</f>
        <v>0</v>
      </c>
      <c r="G35" s="61"/>
      <c r="H35" s="97"/>
      <c r="I35" s="44">
        <f>'#1=- Flat'!I35</f>
        <v>0</v>
      </c>
      <c r="J35" s="122">
        <f>I35/I44</f>
        <v>0</v>
      </c>
      <c r="K35" s="78">
        <f t="shared" si="1"/>
        <v>0</v>
      </c>
      <c r="L35" s="118">
        <f>K35/K44</f>
        <v>0</v>
      </c>
    </row>
    <row r="36" spans="1:12" x14ac:dyDescent="0.25">
      <c r="A36" s="89">
        <v>22</v>
      </c>
      <c r="B36" s="13" t="s">
        <v>29</v>
      </c>
      <c r="C36" s="44">
        <v>0</v>
      </c>
      <c r="D36" s="113">
        <f>C36/C44</f>
        <v>0</v>
      </c>
      <c r="E36" s="44">
        <f>'#1=- Flat'!E36</f>
        <v>0</v>
      </c>
      <c r="F36" s="26">
        <f>E36/E44</f>
        <v>0</v>
      </c>
      <c r="G36" s="61"/>
      <c r="H36" s="97"/>
      <c r="I36" s="44">
        <f>'#1=- Flat'!I36</f>
        <v>0</v>
      </c>
      <c r="J36" s="122">
        <f>I36/I44</f>
        <v>0</v>
      </c>
      <c r="K36" s="78">
        <f t="shared" si="1"/>
        <v>0</v>
      </c>
      <c r="L36" s="118">
        <f>K36/K44</f>
        <v>0</v>
      </c>
    </row>
    <row r="37" spans="1:12" x14ac:dyDescent="0.25">
      <c r="A37" s="89">
        <v>24</v>
      </c>
      <c r="B37" s="13" t="s">
        <v>14</v>
      </c>
      <c r="C37" s="44">
        <v>0</v>
      </c>
      <c r="D37" s="113">
        <f>C37/C44</f>
        <v>0</v>
      </c>
      <c r="E37" s="44">
        <f>'#1=- Flat'!E37</f>
        <v>0</v>
      </c>
      <c r="F37" s="26">
        <f>E37/E44</f>
        <v>0</v>
      </c>
      <c r="G37" s="61"/>
      <c r="H37" s="97"/>
      <c r="I37" s="44">
        <f>'#1=- Flat'!I37</f>
        <v>0</v>
      </c>
      <c r="J37" s="122">
        <f>I37/I44</f>
        <v>0</v>
      </c>
      <c r="K37" s="78">
        <f t="shared" si="1"/>
        <v>0</v>
      </c>
      <c r="L37" s="118">
        <f>K37/K44</f>
        <v>0</v>
      </c>
    </row>
    <row r="38" spans="1:12" x14ac:dyDescent="0.25">
      <c r="A38" s="89">
        <v>19</v>
      </c>
      <c r="B38" s="13" t="s">
        <v>10</v>
      </c>
      <c r="C38" s="44">
        <f>3499</f>
        <v>3499</v>
      </c>
      <c r="D38" s="113">
        <f>C38/C44</f>
        <v>5.8100725636384771E-4</v>
      </c>
      <c r="E38" s="44">
        <f>'#1=- Flat'!E38</f>
        <v>2400</v>
      </c>
      <c r="F38" s="26">
        <f>E38/E44</f>
        <v>3.8111601886206699E-4</v>
      </c>
      <c r="G38" s="61">
        <f>115</f>
        <v>115</v>
      </c>
      <c r="H38" s="97">
        <v>200</v>
      </c>
      <c r="I38" s="44">
        <f>'#1=- Flat'!I38</f>
        <v>2400</v>
      </c>
      <c r="J38" s="122">
        <f>I38/I44</f>
        <v>3.8111601886206699E-4</v>
      </c>
      <c r="K38" s="78">
        <f t="shared" si="1"/>
        <v>2160</v>
      </c>
      <c r="L38" s="118">
        <f>K38/K44</f>
        <v>3.8111601886206688E-4</v>
      </c>
    </row>
    <row r="39" spans="1:12" x14ac:dyDescent="0.25">
      <c r="A39" s="89">
        <f>29</f>
        <v>29</v>
      </c>
      <c r="B39" s="13" t="s">
        <v>17</v>
      </c>
      <c r="C39" s="44">
        <v>0</v>
      </c>
      <c r="D39" s="113">
        <f>C39/C44</f>
        <v>0</v>
      </c>
      <c r="E39" s="44">
        <f>'#1=- Flat'!E39</f>
        <v>0</v>
      </c>
      <c r="F39" s="26">
        <f>E39/E44</f>
        <v>0</v>
      </c>
      <c r="G39" s="61"/>
      <c r="H39" s="76"/>
      <c r="I39" s="44">
        <f>'#1=- Flat'!I39</f>
        <v>0</v>
      </c>
      <c r="J39" s="122">
        <f>I39/I44</f>
        <v>0</v>
      </c>
      <c r="K39" s="78">
        <f t="shared" si="1"/>
        <v>0</v>
      </c>
      <c r="L39" s="118">
        <f>K39/K44</f>
        <v>0</v>
      </c>
    </row>
    <row r="40" spans="1:12" x14ac:dyDescent="0.25">
      <c r="A40" s="89">
        <f>25</f>
        <v>25</v>
      </c>
      <c r="B40" s="20" t="s">
        <v>33</v>
      </c>
      <c r="C40" s="44">
        <v>0</v>
      </c>
      <c r="D40" s="113">
        <f>C40/C44</f>
        <v>0</v>
      </c>
      <c r="E40" s="44">
        <f>'#1=- Flat'!E40</f>
        <v>0</v>
      </c>
      <c r="F40" s="26">
        <f>E40/E44</f>
        <v>0</v>
      </c>
      <c r="G40" s="61"/>
      <c r="H40" s="76"/>
      <c r="I40" s="44">
        <f>'#1=- Flat'!I40</f>
        <v>0</v>
      </c>
      <c r="J40" s="122">
        <f>I40/I44</f>
        <v>0</v>
      </c>
      <c r="K40" s="78">
        <f t="shared" si="1"/>
        <v>0</v>
      </c>
      <c r="L40" s="118">
        <f>K40/K44</f>
        <v>0</v>
      </c>
    </row>
    <row r="41" spans="1:12" x14ac:dyDescent="0.25">
      <c r="A41" s="89">
        <v>27</v>
      </c>
      <c r="B41" s="13" t="s">
        <v>16</v>
      </c>
      <c r="C41" s="44">
        <v>0</v>
      </c>
      <c r="D41" s="113">
        <f>C41/C44</f>
        <v>0</v>
      </c>
      <c r="E41" s="44">
        <f>'#1=- Flat'!E41</f>
        <v>0</v>
      </c>
      <c r="F41" s="26">
        <f>E41/E44</f>
        <v>0</v>
      </c>
      <c r="G41" s="61"/>
      <c r="H41" s="76"/>
      <c r="I41" s="44">
        <f>'#1=- Flat'!I41</f>
        <v>0</v>
      </c>
      <c r="J41" s="122">
        <f>I41/I44</f>
        <v>0</v>
      </c>
      <c r="K41" s="78">
        <f t="shared" si="1"/>
        <v>0</v>
      </c>
      <c r="L41" s="118">
        <f>K41/K44</f>
        <v>0</v>
      </c>
    </row>
    <row r="42" spans="1:12" s="10" customFormat="1" x14ac:dyDescent="0.25">
      <c r="A42" s="28"/>
      <c r="B42" s="29" t="s">
        <v>3</v>
      </c>
      <c r="C42" s="45">
        <f>SUM(C27:C41)+C23</f>
        <v>740844</v>
      </c>
      <c r="D42" s="116">
        <f>C42/C44</f>
        <v>0.12301678760606413</v>
      </c>
      <c r="E42" s="57">
        <f>'#1=- Flat'!E42</f>
        <v>775766</v>
      </c>
      <c r="F42" s="17">
        <f>E42/E44</f>
        <v>0.12319035395356261</v>
      </c>
      <c r="G42" s="24"/>
      <c r="H42" s="25"/>
      <c r="I42" s="57">
        <f>SUM(I23:I41)-I24-I25-I26</f>
        <v>775766</v>
      </c>
      <c r="J42" s="123">
        <f>I42/I44</f>
        <v>0.12319035395356261</v>
      </c>
      <c r="K42" s="57">
        <f>SUM(K23:K41)-K24-K25-K26</f>
        <v>698189.4</v>
      </c>
      <c r="L42" s="21">
        <f>SUM(L23:L41)-L24-L25-L26</f>
        <v>0.12319035395356258</v>
      </c>
    </row>
    <row r="43" spans="1:12" s="53" customFormat="1" ht="15" x14ac:dyDescent="0.2">
      <c r="A43" s="77"/>
      <c r="B43" s="81" t="s">
        <v>28</v>
      </c>
      <c r="C43" s="82">
        <f>C44*0.25</f>
        <v>1505575</v>
      </c>
      <c r="D43" s="117">
        <f>C43/C44</f>
        <v>0.25</v>
      </c>
      <c r="E43" s="68">
        <f>'#1=- Flat'!E43</f>
        <v>1574323.75</v>
      </c>
      <c r="F43" s="117">
        <f>E43/E44</f>
        <v>0.25</v>
      </c>
      <c r="G43" s="85"/>
      <c r="H43" s="87"/>
      <c r="I43" s="84">
        <f>0.25*I46</f>
        <v>1574323.75</v>
      </c>
      <c r="J43" s="117">
        <f>I43/I44</f>
        <v>0.25</v>
      </c>
      <c r="K43" s="84">
        <f>K46*0.25</f>
        <v>1416891.375</v>
      </c>
      <c r="L43" s="117">
        <v>0.25</v>
      </c>
    </row>
    <row r="44" spans="1:12" s="10" customFormat="1" ht="15" customHeight="1" x14ac:dyDescent="0.25">
      <c r="A44" s="28"/>
      <c r="B44" s="42" t="s">
        <v>46</v>
      </c>
      <c r="C44" s="36">
        <f>C18+C42</f>
        <v>6022300</v>
      </c>
      <c r="D44" s="17">
        <v>1</v>
      </c>
      <c r="E44" s="57">
        <f>'#1=- Flat'!E44</f>
        <v>6297295</v>
      </c>
      <c r="F44" s="17">
        <v>1</v>
      </c>
      <c r="G44" s="24"/>
      <c r="H44" s="25"/>
      <c r="I44" s="59">
        <f>I18+I42</f>
        <v>6297295</v>
      </c>
      <c r="J44" s="114">
        <v>1</v>
      </c>
      <c r="K44" s="58">
        <f>K18+K42</f>
        <v>5667565.5000000009</v>
      </c>
      <c r="L44" s="24"/>
    </row>
    <row r="45" spans="1:12" s="48" customFormat="1" ht="15" x14ac:dyDescent="0.2">
      <c r="A45" s="77"/>
    </row>
    <row r="46" spans="1:12" s="2" customFormat="1" x14ac:dyDescent="0.25">
      <c r="A46" s="28"/>
      <c r="B46" s="69" t="s">
        <v>47</v>
      </c>
      <c r="C46" s="69"/>
      <c r="D46" s="75"/>
      <c r="E46" s="46"/>
      <c r="F46" s="46"/>
      <c r="G46" s="46"/>
      <c r="H46" s="46"/>
      <c r="I46" s="46">
        <f>E44</f>
        <v>6297295</v>
      </c>
      <c r="J46" s="46"/>
      <c r="K46" s="59">
        <f>I46*0.9</f>
        <v>5667565.5</v>
      </c>
      <c r="L46" s="30">
        <v>1</v>
      </c>
    </row>
    <row r="47" spans="1:12" s="90" customFormat="1" ht="17.25" x14ac:dyDescent="0.2">
      <c r="A47" s="90" t="s">
        <v>59</v>
      </c>
      <c r="B47" s="92"/>
      <c r="C47" s="92"/>
      <c r="D47" s="92"/>
      <c r="G47" s="93"/>
    </row>
    <row r="48" spans="1:12" s="90" customFormat="1" ht="15" x14ac:dyDescent="0.2">
      <c r="A48" s="91" t="s">
        <v>68</v>
      </c>
      <c r="B48" s="92"/>
      <c r="C48" s="92"/>
      <c r="D48" s="92"/>
      <c r="G48" s="93"/>
    </row>
    <row r="49" spans="1:11" s="90" customFormat="1" ht="15" x14ac:dyDescent="0.2">
      <c r="A49" s="91" t="s">
        <v>50</v>
      </c>
      <c r="B49" s="105"/>
      <c r="C49" s="105"/>
      <c r="D49" s="105"/>
      <c r="E49" s="106"/>
      <c r="F49" s="106"/>
      <c r="G49" s="106"/>
      <c r="H49" s="106"/>
      <c r="I49" s="106"/>
      <c r="J49" s="106"/>
      <c r="K49" s="106"/>
    </row>
    <row r="50" spans="1:11" x14ac:dyDescent="0.25">
      <c r="B50" s="35"/>
      <c r="C50" s="14"/>
      <c r="D50" s="14"/>
      <c r="I50" s="2"/>
      <c r="J50" s="2"/>
    </row>
    <row r="51" spans="1:11" x14ac:dyDescent="0.25">
      <c r="B51" s="35"/>
      <c r="C51" s="14"/>
      <c r="D51" s="14"/>
      <c r="I51" s="2"/>
      <c r="J51" s="2"/>
    </row>
    <row r="52" spans="1:11" x14ac:dyDescent="0.25">
      <c r="B52" s="37"/>
      <c r="C52" s="31"/>
      <c r="D52" s="31"/>
      <c r="I52" s="2"/>
      <c r="J52" s="2"/>
    </row>
    <row r="53" spans="1:11" x14ac:dyDescent="0.25">
      <c r="B53" s="37"/>
      <c r="C53" s="31"/>
      <c r="D53" s="31"/>
      <c r="I53" s="2"/>
      <c r="J53" s="2"/>
    </row>
    <row r="54" spans="1:11" x14ac:dyDescent="0.25">
      <c r="B54" s="37"/>
      <c r="C54" s="31"/>
      <c r="D54" s="31"/>
    </row>
    <row r="55" spans="1:11" x14ac:dyDescent="0.25">
      <c r="B55" s="37"/>
      <c r="C55" s="31"/>
      <c r="D55" s="31"/>
    </row>
  </sheetData>
  <mergeCells count="11">
    <mergeCell ref="A24:A26"/>
    <mergeCell ref="F24:F26"/>
    <mergeCell ref="A1:L1"/>
    <mergeCell ref="C2:D2"/>
    <mergeCell ref="C20:D20"/>
    <mergeCell ref="K2:L2"/>
    <mergeCell ref="K20:L20"/>
    <mergeCell ref="E2:F2"/>
    <mergeCell ref="E20:F20"/>
    <mergeCell ref="I2:J2"/>
    <mergeCell ref="I20:J20"/>
  </mergeCells>
  <phoneticPr fontId="2" type="noConversion"/>
  <printOptions horizontalCentered="1" gridLines="1"/>
  <pageMargins left="0.25" right="0.25" top="0.5" bottom="0.25" header="0.5" footer="0.5"/>
  <pageSetup scale="72" fitToHeight="2" orientation="landscape" r:id="rId1"/>
  <headerFooter alignWithMargins="0">
    <oddFooter>&amp;L&amp;8MD -10%&amp;R&amp;8Page &amp;P</oddFooter>
  </headerFooter>
  <rowBreaks count="1" manualBreakCount="1">
    <brk id="1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zoomScale="68" zoomScaleNormal="68" zoomScaleSheetLayoutView="64" workbookViewId="0">
      <selection activeCell="C16" sqref="C16"/>
    </sheetView>
  </sheetViews>
  <sheetFormatPr defaultColWidth="0" defaultRowHeight="15.75" zeroHeight="1" x14ac:dyDescent="0.25"/>
  <cols>
    <col min="1" max="1" width="6.7109375" style="28" customWidth="1"/>
    <col min="2" max="2" width="53.85546875" style="2" customWidth="1"/>
    <col min="3" max="3" width="19.85546875" style="2" customWidth="1"/>
    <col min="4" max="4" width="17.5703125" style="2" customWidth="1"/>
    <col min="5" max="5" width="17.28515625" style="2" customWidth="1"/>
    <col min="6" max="6" width="17.140625" style="2" customWidth="1"/>
    <col min="7" max="7" width="14.28515625" style="2" customWidth="1"/>
    <col min="8" max="8" width="14.5703125" style="2" customWidth="1"/>
    <col min="9" max="9" width="13" style="2" customWidth="1"/>
    <col min="10" max="10" width="14.7109375" style="2" customWidth="1"/>
    <col min="11" max="11" width="15.85546875" style="2" customWidth="1"/>
    <col min="12" max="12" width="16.28515625" style="2" customWidth="1"/>
    <col min="13" max="14" width="9.140625" style="2" hidden="1" customWidth="1"/>
    <col min="15" max="15" width="14.7109375" style="2" hidden="1" customWidth="1"/>
    <col min="16" max="16" width="12.5703125" style="2" hidden="1" customWidth="1"/>
    <col min="17" max="17" width="14.7109375" style="2" hidden="1" customWidth="1"/>
    <col min="18" max="20" width="9.140625" style="2" hidden="1" customWidth="1"/>
    <col min="21" max="21" width="13.28515625" style="2" hidden="1" customWidth="1"/>
    <col min="22" max="16384" width="9.140625" style="2" hidden="1"/>
  </cols>
  <sheetData>
    <row r="1" spans="1:21" ht="18" x14ac:dyDescent="0.25">
      <c r="A1" s="144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21" ht="99.75" customHeight="1" x14ac:dyDescent="0.25">
      <c r="A2" s="5"/>
      <c r="B2" s="6" t="s">
        <v>88</v>
      </c>
      <c r="C2" s="139" t="s">
        <v>85</v>
      </c>
      <c r="D2" s="139" t="s">
        <v>85</v>
      </c>
      <c r="E2" s="139" t="s">
        <v>86</v>
      </c>
      <c r="F2" s="139" t="s">
        <v>86</v>
      </c>
      <c r="G2" s="140" t="s">
        <v>70</v>
      </c>
      <c r="H2" s="139" t="s">
        <v>70</v>
      </c>
      <c r="I2" s="6" t="s">
        <v>71</v>
      </c>
      <c r="J2" s="6" t="s">
        <v>73</v>
      </c>
      <c r="K2" s="139" t="s">
        <v>74</v>
      </c>
      <c r="L2" s="139" t="s">
        <v>74</v>
      </c>
    </row>
    <row r="3" spans="1:21" ht="55.15" customHeight="1" x14ac:dyDescent="0.2">
      <c r="A3" s="142" t="s">
        <v>97</v>
      </c>
      <c r="B3" s="6" t="s">
        <v>13</v>
      </c>
      <c r="C3" s="6" t="s">
        <v>2</v>
      </c>
      <c r="D3" s="6" t="s">
        <v>49</v>
      </c>
      <c r="E3" s="6" t="s">
        <v>2</v>
      </c>
      <c r="F3" s="6" t="s">
        <v>81</v>
      </c>
      <c r="G3" s="6" t="s">
        <v>2</v>
      </c>
      <c r="H3" s="6" t="s">
        <v>49</v>
      </c>
      <c r="I3" s="6" t="s">
        <v>32</v>
      </c>
      <c r="J3" s="6" t="s">
        <v>77</v>
      </c>
      <c r="K3" s="6" t="s">
        <v>2</v>
      </c>
      <c r="L3" s="6" t="s">
        <v>49</v>
      </c>
    </row>
    <row r="4" spans="1:21" x14ac:dyDescent="0.25">
      <c r="A4" s="10"/>
      <c r="B4" s="7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1" ht="15" x14ac:dyDescent="0.2">
      <c r="A5" s="1">
        <v>1</v>
      </c>
      <c r="B5" s="13" t="s">
        <v>75</v>
      </c>
      <c r="C5" s="78">
        <v>1512030</v>
      </c>
      <c r="D5" s="112">
        <f>C5/C45</f>
        <v>0.2954725591167891</v>
      </c>
      <c r="E5" s="66">
        <f>0.98*C5</f>
        <v>1481789.4</v>
      </c>
      <c r="F5" s="112">
        <f>E5/C5</f>
        <v>0.98</v>
      </c>
      <c r="G5" s="14">
        <v>1510236</v>
      </c>
      <c r="H5" s="26">
        <f>G5/G45</f>
        <v>0.2918968377436692</v>
      </c>
      <c r="I5" s="15">
        <v>2750</v>
      </c>
      <c r="J5" s="101">
        <f>E5/I5</f>
        <v>538.83250909090907</v>
      </c>
      <c r="K5" s="78"/>
      <c r="L5" s="26" t="e">
        <f>K5/K45</f>
        <v>#DIV/0!</v>
      </c>
      <c r="O5" s="97"/>
      <c r="P5" s="97"/>
      <c r="Q5" s="97"/>
      <c r="R5" s="15"/>
      <c r="S5" s="61"/>
      <c r="T5" s="11"/>
      <c r="U5" s="97"/>
    </row>
    <row r="6" spans="1:21" ht="15" x14ac:dyDescent="0.2">
      <c r="A6" s="1">
        <v>2</v>
      </c>
      <c r="B6" s="137" t="s">
        <v>91</v>
      </c>
      <c r="C6" s="78">
        <f>K6</f>
        <v>0</v>
      </c>
      <c r="D6" s="26">
        <f>C6/C45</f>
        <v>0</v>
      </c>
      <c r="E6" s="66"/>
      <c r="F6" s="112" t="e">
        <f>E6/C6</f>
        <v>#DIV/0!</v>
      </c>
      <c r="G6" s="14"/>
      <c r="H6" s="26">
        <f>G6/G45</f>
        <v>0</v>
      </c>
      <c r="I6" s="61">
        <v>0</v>
      </c>
      <c r="J6" s="101" t="e">
        <f t="shared" ref="J6:J18" si="0">E6/I6</f>
        <v>#DIV/0!</v>
      </c>
      <c r="K6" s="78"/>
      <c r="L6" s="118" t="e">
        <f>K6/K45</f>
        <v>#DIV/0!</v>
      </c>
      <c r="O6" s="97"/>
      <c r="P6" s="101"/>
      <c r="Q6" s="97"/>
      <c r="R6" s="61"/>
      <c r="S6" s="15"/>
      <c r="T6" s="11"/>
      <c r="U6" s="97"/>
    </row>
    <row r="7" spans="1:21" ht="15" x14ac:dyDescent="0.2">
      <c r="A7" s="1">
        <v>3</v>
      </c>
      <c r="B7" s="22" t="s">
        <v>5</v>
      </c>
      <c r="C7" s="78">
        <v>1564333</v>
      </c>
      <c r="D7" s="26">
        <f>C7/C45</f>
        <v>0.30569332276531813</v>
      </c>
      <c r="E7" s="66">
        <f>0.98*C7</f>
        <v>1533046.34</v>
      </c>
      <c r="F7" s="112">
        <f t="shared" ref="F7:F18" si="1">E7/C7</f>
        <v>0.98000000000000009</v>
      </c>
      <c r="G7" s="14">
        <v>1520240</v>
      </c>
      <c r="H7" s="26">
        <f>G7/G45</f>
        <v>0.29383040042181202</v>
      </c>
      <c r="I7" s="15">
        <v>2942</v>
      </c>
      <c r="J7" s="124">
        <f t="shared" si="0"/>
        <v>521.08985044187625</v>
      </c>
      <c r="K7" s="78"/>
      <c r="L7" s="26" t="e">
        <f>K7/K45</f>
        <v>#DIV/0!</v>
      </c>
      <c r="O7" s="97"/>
      <c r="P7" s="97"/>
      <c r="Q7" s="97"/>
      <c r="R7" s="15"/>
      <c r="S7" s="15"/>
      <c r="T7" s="11"/>
      <c r="U7" s="97"/>
    </row>
    <row r="8" spans="1:21" ht="15" x14ac:dyDescent="0.2">
      <c r="A8" s="1">
        <v>4</v>
      </c>
      <c r="B8" s="13" t="s">
        <v>96</v>
      </c>
      <c r="C8" s="78">
        <v>46280</v>
      </c>
      <c r="D8" s="26">
        <f>C8/C45</f>
        <v>9.0437822238480705E-3</v>
      </c>
      <c r="E8" s="44">
        <v>46280</v>
      </c>
      <c r="F8" s="112">
        <f t="shared" si="1"/>
        <v>1</v>
      </c>
      <c r="G8" s="14">
        <v>149378</v>
      </c>
      <c r="H8" s="26">
        <f>G8/G45</f>
        <v>2.8871623923991892E-2</v>
      </c>
      <c r="I8" s="15">
        <v>37</v>
      </c>
      <c r="J8" s="124">
        <f t="shared" si="0"/>
        <v>1250.8108108108108</v>
      </c>
      <c r="K8" s="78"/>
      <c r="L8" s="26" t="e">
        <f>K8/K45</f>
        <v>#DIV/0!</v>
      </c>
      <c r="O8" s="97"/>
      <c r="P8" s="97"/>
      <c r="Q8" s="97"/>
      <c r="R8" s="15"/>
      <c r="S8" s="15"/>
      <c r="T8" s="11"/>
      <c r="U8" s="97"/>
    </row>
    <row r="9" spans="1:21" ht="15" x14ac:dyDescent="0.2">
      <c r="A9" s="1">
        <v>5</v>
      </c>
      <c r="B9" s="13" t="s">
        <v>0</v>
      </c>
      <c r="C9" s="78">
        <v>307241</v>
      </c>
      <c r="D9" s="26">
        <f>C9/C45</f>
        <v>6.0039340843502702E-2</v>
      </c>
      <c r="E9" s="44">
        <f>0.96*C9</f>
        <v>294951.36</v>
      </c>
      <c r="F9" s="112">
        <f t="shared" si="1"/>
        <v>0.96</v>
      </c>
      <c r="G9" s="14">
        <v>295000</v>
      </c>
      <c r="H9" s="26">
        <f>G9/G45</f>
        <v>5.7017292088377192E-2</v>
      </c>
      <c r="I9" s="15">
        <v>347</v>
      </c>
      <c r="J9" s="124">
        <f t="shared" si="0"/>
        <v>850.00391930835735</v>
      </c>
      <c r="K9" s="78"/>
      <c r="L9" s="26" t="e">
        <f>K9/K45</f>
        <v>#DIV/0!</v>
      </c>
      <c r="O9" s="97"/>
      <c r="P9" s="97"/>
      <c r="Q9" s="97"/>
      <c r="R9" s="15"/>
      <c r="S9" s="15"/>
      <c r="T9" s="11"/>
      <c r="U9" s="97"/>
    </row>
    <row r="10" spans="1:21" ht="15" x14ac:dyDescent="0.2">
      <c r="A10" s="1">
        <v>6</v>
      </c>
      <c r="B10" s="2" t="s">
        <v>82</v>
      </c>
      <c r="C10" s="78">
        <v>186270</v>
      </c>
      <c r="D10" s="26">
        <f>C10/C45</f>
        <v>3.6399855549614953E-2</v>
      </c>
      <c r="E10" s="44">
        <v>186270</v>
      </c>
      <c r="F10" s="112">
        <f t="shared" si="1"/>
        <v>1</v>
      </c>
      <c r="G10" s="14">
        <v>143023</v>
      </c>
      <c r="H10" s="26">
        <f>G10/G45</f>
        <v>2.7643336157138883E-2</v>
      </c>
      <c r="I10" s="15">
        <v>190</v>
      </c>
      <c r="J10" s="124">
        <f t="shared" si="0"/>
        <v>980.36842105263156</v>
      </c>
      <c r="K10" s="78"/>
      <c r="L10" s="118" t="e">
        <f>K10/K45</f>
        <v>#DIV/0!</v>
      </c>
      <c r="O10" s="97"/>
      <c r="P10" s="97"/>
      <c r="Q10" s="97"/>
      <c r="R10" s="15"/>
      <c r="S10" s="62"/>
      <c r="T10" s="11"/>
      <c r="U10" s="97"/>
    </row>
    <row r="11" spans="1:21" ht="15" x14ac:dyDescent="0.2">
      <c r="A11" s="1">
        <v>7</v>
      </c>
      <c r="B11" s="138" t="s">
        <v>92</v>
      </c>
      <c r="C11" s="78">
        <v>102334</v>
      </c>
      <c r="D11" s="26">
        <f>C11/C45</f>
        <v>1.9997545594106925E-2</v>
      </c>
      <c r="E11" s="44">
        <v>100320</v>
      </c>
      <c r="F11" s="112">
        <f t="shared" si="1"/>
        <v>0.98031934645376906</v>
      </c>
      <c r="G11" s="14">
        <v>98300</v>
      </c>
      <c r="H11" s="26">
        <f>G11/G45</f>
        <v>1.899932139758467E-2</v>
      </c>
      <c r="I11" s="62">
        <v>89</v>
      </c>
      <c r="J11" s="124">
        <f t="shared" si="0"/>
        <v>1127.1910112359551</v>
      </c>
      <c r="K11" s="78"/>
      <c r="L11" s="118" t="e">
        <f>K11/K45</f>
        <v>#DIV/0!</v>
      </c>
      <c r="O11" s="97"/>
      <c r="P11" s="97"/>
      <c r="Q11" s="97"/>
      <c r="R11" s="62"/>
      <c r="S11" s="15"/>
      <c r="T11" s="11"/>
      <c r="U11" s="97"/>
    </row>
    <row r="12" spans="1:21" ht="15" x14ac:dyDescent="0.2">
      <c r="A12" s="1">
        <v>8</v>
      </c>
      <c r="B12" s="138" t="s">
        <v>93</v>
      </c>
      <c r="C12" s="78">
        <v>72358</v>
      </c>
      <c r="D12" s="26">
        <f>C12/C45</f>
        <v>1.4139801083690551E-2</v>
      </c>
      <c r="E12" s="66">
        <v>72358</v>
      </c>
      <c r="F12" s="112">
        <f t="shared" si="1"/>
        <v>1</v>
      </c>
      <c r="G12" s="14">
        <v>191297</v>
      </c>
      <c r="H12" s="26">
        <f>G12/G45</f>
        <v>3.6973684490272177E-2</v>
      </c>
      <c r="I12" s="15">
        <v>54</v>
      </c>
      <c r="J12" s="124">
        <f t="shared" si="0"/>
        <v>1339.962962962963</v>
      </c>
      <c r="K12" s="78"/>
      <c r="L12" s="118" t="e">
        <f>K12/K45</f>
        <v>#DIV/0!</v>
      </c>
      <c r="O12" s="97"/>
      <c r="P12" s="97"/>
      <c r="Q12" s="97"/>
      <c r="R12" s="15"/>
      <c r="S12" s="15"/>
      <c r="T12" s="11"/>
      <c r="U12" s="97"/>
    </row>
    <row r="13" spans="1:21" ht="15" x14ac:dyDescent="0.2">
      <c r="A13" s="1">
        <v>10</v>
      </c>
      <c r="B13" s="13" t="s">
        <v>42</v>
      </c>
      <c r="C13" s="78">
        <v>353477</v>
      </c>
      <c r="D13" s="26">
        <f>C13/C45</f>
        <v>6.9074524830145728E-2</v>
      </c>
      <c r="E13" s="66">
        <v>342788</v>
      </c>
      <c r="F13" s="112">
        <f t="shared" si="1"/>
        <v>0.96976040873946534</v>
      </c>
      <c r="G13" s="14">
        <v>259765</v>
      </c>
      <c r="H13" s="26">
        <f>G13/G45</f>
        <v>5.020710806555017E-2</v>
      </c>
      <c r="I13" s="15">
        <v>473</v>
      </c>
      <c r="J13" s="101">
        <f t="shared" si="0"/>
        <v>724.71035940803381</v>
      </c>
      <c r="K13" s="78"/>
      <c r="L13" s="118" t="e">
        <f>K13/K45</f>
        <v>#DIV/0!</v>
      </c>
      <c r="O13" s="97"/>
      <c r="P13" s="97"/>
      <c r="Q13" s="97"/>
      <c r="R13" s="15"/>
      <c r="S13" s="15"/>
      <c r="T13" s="11"/>
      <c r="U13" s="97"/>
    </row>
    <row r="14" spans="1:21" ht="15" x14ac:dyDescent="0.2">
      <c r="A14" s="1"/>
      <c r="C14" s="78"/>
      <c r="D14" s="26">
        <f>C14/C45</f>
        <v>0</v>
      </c>
      <c r="E14" s="11"/>
      <c r="F14" s="26" t="e">
        <f t="shared" si="1"/>
        <v>#DIV/0!</v>
      </c>
      <c r="G14" s="14"/>
      <c r="H14" s="26">
        <f>G14/G45</f>
        <v>0</v>
      </c>
      <c r="I14" s="15"/>
      <c r="J14" s="101" t="e">
        <f>E14/I14</f>
        <v>#DIV/0!</v>
      </c>
      <c r="K14" s="78">
        <f>G14</f>
        <v>0</v>
      </c>
      <c r="L14" s="26" t="e">
        <f>K14/K45</f>
        <v>#DIV/0!</v>
      </c>
      <c r="O14" s="97"/>
      <c r="P14" s="97"/>
      <c r="Q14" s="97"/>
      <c r="R14" s="15"/>
      <c r="S14" s="61"/>
      <c r="T14" s="11"/>
      <c r="U14" s="97"/>
    </row>
    <row r="15" spans="1:21" ht="15" x14ac:dyDescent="0.2">
      <c r="A15" s="1"/>
      <c r="B15" s="13"/>
      <c r="C15" s="78">
        <f>K15</f>
        <v>0</v>
      </c>
      <c r="D15" s="26">
        <f>C15/C45</f>
        <v>0</v>
      </c>
      <c r="E15" s="11"/>
      <c r="F15" s="26" t="e">
        <f t="shared" si="1"/>
        <v>#DIV/0!</v>
      </c>
      <c r="G15" s="14"/>
      <c r="H15" s="26">
        <f>G15/G45</f>
        <v>0</v>
      </c>
      <c r="I15" s="61"/>
      <c r="J15" s="101" t="e">
        <f t="shared" si="0"/>
        <v>#DIV/0!</v>
      </c>
      <c r="K15" s="78">
        <f>G15</f>
        <v>0</v>
      </c>
      <c r="L15" s="118" t="e">
        <f>K15/K45</f>
        <v>#DIV/0!</v>
      </c>
      <c r="O15" s="97"/>
      <c r="P15" s="97"/>
      <c r="Q15" s="97"/>
      <c r="R15" s="61"/>
      <c r="S15" s="61"/>
      <c r="T15" s="11"/>
      <c r="U15" s="97"/>
    </row>
    <row r="16" spans="1:21" ht="15" x14ac:dyDescent="0.2">
      <c r="A16" s="1"/>
      <c r="B16" s="23"/>
      <c r="C16" s="78">
        <f>K16</f>
        <v>0</v>
      </c>
      <c r="D16" s="26">
        <f>C16/C45</f>
        <v>0</v>
      </c>
      <c r="E16" s="67"/>
      <c r="F16" s="26" t="e">
        <f t="shared" si="1"/>
        <v>#DIV/0!</v>
      </c>
      <c r="G16" s="14"/>
      <c r="H16" s="26">
        <f>G16/G45</f>
        <v>0</v>
      </c>
      <c r="I16" s="61"/>
      <c r="J16" s="101" t="e">
        <f t="shared" si="0"/>
        <v>#DIV/0!</v>
      </c>
      <c r="K16" s="78">
        <f>G16</f>
        <v>0</v>
      </c>
      <c r="L16" s="118" t="e">
        <f>K16/K45</f>
        <v>#DIV/0!</v>
      </c>
      <c r="O16" s="97"/>
      <c r="P16" s="97"/>
      <c r="Q16" s="97"/>
      <c r="R16" s="61"/>
      <c r="S16" s="61"/>
      <c r="T16" s="11"/>
      <c r="U16" s="97"/>
    </row>
    <row r="17" spans="1:21" ht="15" x14ac:dyDescent="0.2">
      <c r="A17" s="1"/>
      <c r="B17" s="13"/>
      <c r="C17" s="78">
        <f>K17</f>
        <v>0</v>
      </c>
      <c r="D17" s="26">
        <f>C17/C45</f>
        <v>0</v>
      </c>
      <c r="E17" s="67"/>
      <c r="F17" s="26" t="e">
        <f t="shared" si="1"/>
        <v>#DIV/0!</v>
      </c>
      <c r="G17" s="14"/>
      <c r="H17" s="26">
        <f>G17/G45</f>
        <v>0</v>
      </c>
      <c r="I17" s="61"/>
      <c r="J17" s="101" t="e">
        <f t="shared" si="0"/>
        <v>#DIV/0!</v>
      </c>
      <c r="K17" s="78">
        <f>G17</f>
        <v>0</v>
      </c>
      <c r="L17" s="26" t="e">
        <f>K17/K45</f>
        <v>#DIV/0!</v>
      </c>
      <c r="O17" s="97"/>
      <c r="P17" s="97"/>
      <c r="Q17" s="97"/>
      <c r="R17" s="61"/>
      <c r="T17" s="11"/>
      <c r="U17" s="97"/>
    </row>
    <row r="18" spans="1:21" x14ac:dyDescent="0.25">
      <c r="A18" s="10"/>
      <c r="B18" s="29" t="s">
        <v>1</v>
      </c>
      <c r="C18" s="54">
        <f>SUM(C5:C17)</f>
        <v>4144323</v>
      </c>
      <c r="D18" s="17">
        <f>C18/C45</f>
        <v>0.80986073200701614</v>
      </c>
      <c r="E18" s="43">
        <f>SUM(E5:E17)</f>
        <v>4057803.1</v>
      </c>
      <c r="F18" s="134">
        <f t="shared" si="1"/>
        <v>0.97912327296882995</v>
      </c>
      <c r="G18" s="43">
        <f>SUM(G5:G17)</f>
        <v>4167239</v>
      </c>
      <c r="H18" s="17">
        <f>G18/G45</f>
        <v>0.80543960428839612</v>
      </c>
      <c r="I18" s="38"/>
      <c r="J18" s="101" t="e">
        <f t="shared" si="0"/>
        <v>#DIV/0!</v>
      </c>
      <c r="K18" s="55">
        <f>SUM(K5:K17)</f>
        <v>0</v>
      </c>
      <c r="L18" s="17" t="e">
        <f>K18/K45</f>
        <v>#DIV/0!</v>
      </c>
      <c r="P18" s="97"/>
      <c r="U18" s="97"/>
    </row>
    <row r="19" spans="1:21" s="53" customFormat="1" x14ac:dyDescent="0.25">
      <c r="A19" s="10"/>
      <c r="B19" s="40" t="s">
        <v>78</v>
      </c>
      <c r="C19" s="74"/>
      <c r="D19" s="21"/>
      <c r="E19" s="74"/>
      <c r="F19" s="114"/>
      <c r="G19" s="49"/>
      <c r="H19" s="114"/>
      <c r="I19" s="63"/>
      <c r="J19" s="70"/>
      <c r="K19" s="56">
        <f>(0.75*K46)</f>
        <v>3880401.75</v>
      </c>
      <c r="L19" s="119">
        <v>0.75</v>
      </c>
      <c r="U19" s="97"/>
    </row>
    <row r="20" spans="1:21" s="53" customFormat="1" ht="15" hidden="1" x14ac:dyDescent="0.2">
      <c r="B20" s="81"/>
      <c r="C20" s="81"/>
      <c r="D20" s="81"/>
      <c r="E20" s="82"/>
      <c r="F20" s="125"/>
      <c r="G20" s="126"/>
      <c r="H20" s="125"/>
      <c r="I20" s="127"/>
      <c r="J20" s="128"/>
      <c r="K20" s="129"/>
      <c r="L20" s="117"/>
      <c r="U20" s="97"/>
    </row>
    <row r="21" spans="1:21" s="53" customFormat="1" ht="15" hidden="1" x14ac:dyDescent="0.2">
      <c r="A21" s="53" t="s">
        <v>69</v>
      </c>
      <c r="B21" s="81"/>
      <c r="C21" s="81"/>
      <c r="D21" s="81"/>
      <c r="E21" s="82"/>
      <c r="F21" s="125"/>
      <c r="G21" s="126"/>
      <c r="H21" s="125"/>
      <c r="I21" s="127"/>
      <c r="J21" s="128"/>
      <c r="K21" s="129"/>
      <c r="L21" s="117"/>
      <c r="U21" s="97"/>
    </row>
    <row r="22" spans="1:21" ht="1.9" customHeight="1" x14ac:dyDescent="0.25">
      <c r="A22" s="9"/>
      <c r="B22" s="7"/>
      <c r="C22" s="139"/>
      <c r="D22" s="139"/>
      <c r="E22" s="139"/>
      <c r="F22" s="139"/>
      <c r="G22" s="140"/>
      <c r="H22" s="141"/>
      <c r="I22" s="6"/>
      <c r="J22" s="6"/>
      <c r="K22" s="139"/>
      <c r="L22" s="139"/>
      <c r="U22" s="97"/>
    </row>
    <row r="23" spans="1:21" ht="1.9" customHeight="1" x14ac:dyDescent="0.2">
      <c r="A23" s="4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U23" s="97"/>
    </row>
    <row r="24" spans="1:21" x14ac:dyDescent="0.25">
      <c r="A24" s="10"/>
      <c r="B24" s="7" t="s">
        <v>44</v>
      </c>
      <c r="D24" s="11"/>
      <c r="E24" s="7"/>
      <c r="F24" s="7"/>
      <c r="K24" s="11"/>
      <c r="L24" s="12"/>
      <c r="U24" s="97"/>
    </row>
    <row r="25" spans="1:21" ht="15" x14ac:dyDescent="0.2">
      <c r="A25" s="1">
        <v>9</v>
      </c>
      <c r="B25" s="138" t="s">
        <v>94</v>
      </c>
      <c r="C25" s="78">
        <v>697345</v>
      </c>
      <c r="D25" s="118">
        <f>C25/C45</f>
        <v>0.13627131190339958</v>
      </c>
      <c r="E25" s="44">
        <v>676257</v>
      </c>
      <c r="F25" s="113">
        <f>E25/C25</f>
        <v>0.96975958815220586</v>
      </c>
      <c r="G25" s="44">
        <v>652021</v>
      </c>
      <c r="H25" s="118">
        <f>G25/G45</f>
        <v>0.12602193832120603</v>
      </c>
      <c r="I25" s="64">
        <v>703</v>
      </c>
      <c r="J25" s="97">
        <f>C25/I25</f>
        <v>991.9559032716927</v>
      </c>
      <c r="K25" s="124">
        <v>0</v>
      </c>
      <c r="L25" s="118" t="e">
        <f>K28/K45</f>
        <v>#DIV/0!</v>
      </c>
      <c r="O25" s="97"/>
      <c r="P25" s="97"/>
      <c r="Q25" s="97"/>
      <c r="R25" s="64"/>
      <c r="S25" s="64"/>
      <c r="T25" s="11"/>
      <c r="U25" s="97"/>
    </row>
    <row r="26" spans="1:21" ht="15" x14ac:dyDescent="0.2">
      <c r="A26" s="1">
        <v>11</v>
      </c>
      <c r="B26" s="13" t="s">
        <v>89</v>
      </c>
      <c r="C26" s="78">
        <v>70001</v>
      </c>
      <c r="D26" s="118">
        <f>C26/C45</f>
        <v>1.3679209149775039E-2</v>
      </c>
      <c r="E26" s="44">
        <v>60923</v>
      </c>
      <c r="F26" s="113">
        <f t="shared" ref="F26:F45" si="2">E26/C26</f>
        <v>0.87031613834088084</v>
      </c>
      <c r="G26" s="14">
        <v>62460</v>
      </c>
      <c r="H26" s="26">
        <f>G26/G45</f>
        <v>1.2072203606237421E-2</v>
      </c>
      <c r="I26" s="61">
        <v>357</v>
      </c>
      <c r="J26" s="97">
        <f t="shared" ref="J26:J42" si="3">C26/I26</f>
        <v>196.0812324929972</v>
      </c>
      <c r="K26" s="132">
        <v>0</v>
      </c>
      <c r="L26" s="118" t="e">
        <f>K26/K45</f>
        <v>#DIV/0!</v>
      </c>
      <c r="O26" s="97"/>
      <c r="P26" s="97"/>
      <c r="Q26" s="97"/>
      <c r="R26" s="61"/>
      <c r="S26" s="61"/>
      <c r="T26" s="11"/>
      <c r="U26" s="97"/>
    </row>
    <row r="27" spans="1:21" ht="15" x14ac:dyDescent="0.2">
      <c r="A27" s="1">
        <v>12</v>
      </c>
      <c r="B27" s="2" t="s">
        <v>80</v>
      </c>
      <c r="C27" s="78"/>
      <c r="D27" s="118"/>
      <c r="E27" s="66"/>
      <c r="F27" s="113"/>
      <c r="G27" s="14"/>
      <c r="H27" s="26"/>
      <c r="I27" s="61"/>
      <c r="J27" s="97"/>
      <c r="K27" s="132"/>
      <c r="L27" s="118"/>
      <c r="O27" s="97"/>
      <c r="P27" s="97"/>
      <c r="Q27" s="97"/>
      <c r="R27" s="61"/>
      <c r="S27" s="61"/>
      <c r="T27" s="11"/>
      <c r="U27" s="97"/>
    </row>
    <row r="28" spans="1:21" ht="15" x14ac:dyDescent="0.2">
      <c r="A28" s="1"/>
      <c r="B28" s="2" t="s">
        <v>76</v>
      </c>
      <c r="C28" s="78">
        <v>29430</v>
      </c>
      <c r="D28" s="118">
        <f>C28/C45</f>
        <v>5.7510482032810872E-3</v>
      </c>
      <c r="E28" s="44">
        <v>29430</v>
      </c>
      <c r="F28" s="113">
        <f t="shared" si="2"/>
        <v>1</v>
      </c>
      <c r="G28" s="14">
        <v>33920</v>
      </c>
      <c r="H28" s="26">
        <f>G28/G45</f>
        <v>6.5560221953822181E-3</v>
      </c>
      <c r="I28" s="61">
        <v>107</v>
      </c>
      <c r="J28" s="97">
        <f t="shared" si="3"/>
        <v>275.04672897196264</v>
      </c>
      <c r="K28" s="132">
        <v>0</v>
      </c>
      <c r="L28" s="118" t="e">
        <f>#REF!/K45</f>
        <v>#REF!</v>
      </c>
      <c r="O28" s="97"/>
      <c r="P28" s="97"/>
      <c r="Q28" s="97"/>
      <c r="R28" s="61"/>
      <c r="S28" s="61"/>
      <c r="T28" s="11"/>
      <c r="U28" s="97"/>
    </row>
    <row r="29" spans="1:21" ht="15" x14ac:dyDescent="0.2">
      <c r="A29" s="1"/>
      <c r="B29" s="2" t="s">
        <v>79</v>
      </c>
      <c r="C29" s="78">
        <v>45222</v>
      </c>
      <c r="D29" s="118">
        <f>C29/C45</f>
        <v>8.8370337019632126E-3</v>
      </c>
      <c r="E29" s="44">
        <v>45222</v>
      </c>
      <c r="F29" s="113">
        <f t="shared" si="2"/>
        <v>1</v>
      </c>
      <c r="G29" s="14">
        <v>45222</v>
      </c>
      <c r="H29" s="26">
        <f>G29/G45</f>
        <v>8.7404609587138759E-3</v>
      </c>
      <c r="I29" s="61">
        <v>112</v>
      </c>
      <c r="J29" s="97">
        <f t="shared" si="3"/>
        <v>403.76785714285717</v>
      </c>
      <c r="K29" s="132">
        <v>0</v>
      </c>
      <c r="L29" s="118" t="e">
        <f>K29/K45</f>
        <v>#DIV/0!</v>
      </c>
      <c r="O29" s="97"/>
      <c r="P29" s="97"/>
      <c r="Q29" s="97"/>
      <c r="R29" s="61"/>
      <c r="S29" s="61"/>
      <c r="T29" s="11"/>
      <c r="U29" s="97"/>
    </row>
    <row r="30" spans="1:21" ht="15" x14ac:dyDescent="0.2">
      <c r="A30" s="1">
        <v>13</v>
      </c>
      <c r="B30" s="13" t="s">
        <v>25</v>
      </c>
      <c r="C30" s="78">
        <v>37243</v>
      </c>
      <c r="D30" s="118">
        <f>C30/C45</f>
        <v>7.2778215506217308E-3</v>
      </c>
      <c r="E30" s="44">
        <v>37243</v>
      </c>
      <c r="F30" s="113">
        <f t="shared" si="2"/>
        <v>1</v>
      </c>
      <c r="G30" s="14">
        <v>37243</v>
      </c>
      <c r="H30" s="26">
        <f>G30/G45</f>
        <v>7.1982881669404464E-3</v>
      </c>
      <c r="I30" s="61">
        <v>142</v>
      </c>
      <c r="J30" s="97">
        <f t="shared" si="3"/>
        <v>262.27464788732397</v>
      </c>
      <c r="K30" s="132">
        <v>0</v>
      </c>
      <c r="L30" s="118" t="e">
        <f>K30/K45</f>
        <v>#DIV/0!</v>
      </c>
      <c r="O30" s="97"/>
      <c r="P30" s="97"/>
      <c r="Q30" s="97"/>
      <c r="R30" s="61"/>
      <c r="S30" s="61"/>
      <c r="T30" s="11"/>
      <c r="U30" s="97"/>
    </row>
    <row r="31" spans="1:21" ht="15" x14ac:dyDescent="0.2">
      <c r="A31" s="1">
        <v>14</v>
      </c>
      <c r="B31" s="13" t="s">
        <v>90</v>
      </c>
      <c r="C31" s="78">
        <v>89444</v>
      </c>
      <c r="D31" s="118">
        <f>C31/C45</f>
        <v>1.7478652921993666E-2</v>
      </c>
      <c r="E31" s="44">
        <v>89444</v>
      </c>
      <c r="F31" s="113">
        <f t="shared" si="2"/>
        <v>1</v>
      </c>
      <c r="G31" s="14">
        <v>121444</v>
      </c>
      <c r="H31" s="26">
        <f>G31/G45</f>
        <v>2.3472569560613152E-2</v>
      </c>
      <c r="I31" s="61">
        <v>91</v>
      </c>
      <c r="J31" s="97">
        <f t="shared" si="3"/>
        <v>982.90109890109886</v>
      </c>
      <c r="K31" s="132">
        <v>0</v>
      </c>
      <c r="L31" s="118" t="e">
        <f>K31/K45</f>
        <v>#DIV/0!</v>
      </c>
      <c r="O31" s="97"/>
      <c r="P31" s="97"/>
      <c r="Q31" s="97"/>
      <c r="R31" s="15"/>
      <c r="S31" s="15"/>
      <c r="T31" s="11"/>
      <c r="U31" s="97"/>
    </row>
    <row r="32" spans="1:21" ht="15" x14ac:dyDescent="0.2">
      <c r="A32" s="1">
        <v>15</v>
      </c>
      <c r="B32" s="13" t="s">
        <v>95</v>
      </c>
      <c r="C32" s="78">
        <v>0</v>
      </c>
      <c r="D32" s="118">
        <f>C32/C45</f>
        <v>0</v>
      </c>
      <c r="E32" s="44"/>
      <c r="F32" s="113" t="e">
        <f>E32/C32</f>
        <v>#DIV/0!</v>
      </c>
      <c r="G32" s="14">
        <v>50000</v>
      </c>
      <c r="H32" s="26">
        <f>G32/G45</f>
        <v>9.6639478115893539E-3</v>
      </c>
      <c r="I32" s="61"/>
      <c r="J32" s="97" t="e">
        <f t="shared" si="3"/>
        <v>#DIV/0!</v>
      </c>
      <c r="K32" s="132">
        <v>0</v>
      </c>
      <c r="L32" s="118" t="e">
        <f>K32/K45</f>
        <v>#DIV/0!</v>
      </c>
      <c r="O32" s="97"/>
      <c r="P32" s="97"/>
      <c r="Q32" s="97"/>
      <c r="R32" s="15"/>
      <c r="S32" s="15"/>
      <c r="T32" s="11"/>
      <c r="U32" s="97"/>
    </row>
    <row r="33" spans="1:21" ht="15" x14ac:dyDescent="0.2">
      <c r="A33" s="1">
        <v>18</v>
      </c>
      <c r="B33" s="13" t="s">
        <v>15</v>
      </c>
      <c r="C33" s="78">
        <v>4320</v>
      </c>
      <c r="D33" s="118">
        <f>C33/C45</f>
        <v>8.4419056194951739E-4</v>
      </c>
      <c r="E33" s="44">
        <v>4310</v>
      </c>
      <c r="F33" s="113">
        <f t="shared" si="2"/>
        <v>0.99768518518518523</v>
      </c>
      <c r="G33" s="14">
        <v>4320</v>
      </c>
      <c r="H33" s="26">
        <f>G33/G45</f>
        <v>8.3496509092132018E-4</v>
      </c>
      <c r="I33" s="15">
        <v>14</v>
      </c>
      <c r="J33" s="97">
        <f t="shared" si="3"/>
        <v>308.57142857142856</v>
      </c>
      <c r="K33" s="132">
        <v>0</v>
      </c>
      <c r="L33" s="118" t="e">
        <f>K33/K45</f>
        <v>#DIV/0!</v>
      </c>
      <c r="O33" s="97"/>
      <c r="P33" s="97"/>
      <c r="Q33" s="97"/>
      <c r="R33" s="15"/>
      <c r="S33" s="15"/>
      <c r="T33" s="11"/>
      <c r="U33" s="97"/>
    </row>
    <row r="34" spans="1:21" ht="15" x14ac:dyDescent="0.2">
      <c r="A34" s="1"/>
      <c r="C34" s="78">
        <f>A34</f>
        <v>0</v>
      </c>
      <c r="D34" s="118">
        <f>C34/C45</f>
        <v>0</v>
      </c>
      <c r="E34" s="44"/>
      <c r="F34" s="113" t="e">
        <f t="shared" si="2"/>
        <v>#DIV/0!</v>
      </c>
      <c r="G34" s="14"/>
      <c r="H34" s="26">
        <f>G34/G45</f>
        <v>0</v>
      </c>
      <c r="I34" s="61"/>
      <c r="J34" s="97" t="e">
        <f t="shared" si="3"/>
        <v>#DIV/0!</v>
      </c>
      <c r="K34" s="44">
        <f>G34</f>
        <v>0</v>
      </c>
      <c r="L34" s="118" t="e">
        <f>K34/K45</f>
        <v>#DIV/0!</v>
      </c>
      <c r="O34" s="97"/>
      <c r="P34" s="97"/>
      <c r="Q34" s="97"/>
      <c r="R34" s="61"/>
      <c r="S34" s="61"/>
      <c r="T34" s="11"/>
      <c r="U34" s="97"/>
    </row>
    <row r="35" spans="1:21" ht="15" x14ac:dyDescent="0.2">
      <c r="A35" s="1"/>
      <c r="B35" s="13"/>
      <c r="C35" s="78">
        <f>A35</f>
        <v>0</v>
      </c>
      <c r="D35" s="118">
        <f>C35/C45</f>
        <v>0</v>
      </c>
      <c r="E35" s="44"/>
      <c r="F35" s="113" t="e">
        <f t="shared" si="2"/>
        <v>#DIV/0!</v>
      </c>
      <c r="G35" s="14"/>
      <c r="H35" s="26">
        <f>G35/G45</f>
        <v>0</v>
      </c>
      <c r="I35" s="15"/>
      <c r="J35" s="97" t="e">
        <f t="shared" si="3"/>
        <v>#DIV/0!</v>
      </c>
      <c r="K35" s="44">
        <f>G35</f>
        <v>0</v>
      </c>
      <c r="L35" s="118" t="e">
        <f>K35/K45</f>
        <v>#DIV/0!</v>
      </c>
      <c r="O35" s="97"/>
      <c r="P35" s="97"/>
      <c r="Q35" s="97"/>
      <c r="R35" s="15"/>
      <c r="S35" s="15"/>
      <c r="T35" s="11"/>
      <c r="U35" s="97"/>
    </row>
    <row r="36" spans="1:21" ht="15" x14ac:dyDescent="0.2">
      <c r="A36" s="1"/>
      <c r="C36" s="78">
        <f>A36</f>
        <v>0</v>
      </c>
      <c r="D36" s="118">
        <f>C36/C45</f>
        <v>0</v>
      </c>
      <c r="E36" s="44"/>
      <c r="F36" s="113" t="e">
        <f t="shared" si="2"/>
        <v>#DIV/0!</v>
      </c>
      <c r="G36" s="14"/>
      <c r="H36" s="26">
        <f>G36/G45</f>
        <v>0</v>
      </c>
      <c r="I36" s="61"/>
      <c r="J36" s="97" t="e">
        <f t="shared" si="3"/>
        <v>#DIV/0!</v>
      </c>
      <c r="K36" s="44">
        <f>G36</f>
        <v>0</v>
      </c>
      <c r="L36" s="118" t="e">
        <f>K36/K45</f>
        <v>#DIV/0!</v>
      </c>
      <c r="O36" s="97"/>
      <c r="P36" s="97"/>
      <c r="Q36" s="97"/>
      <c r="R36" s="61"/>
      <c r="S36" s="61"/>
      <c r="T36" s="11"/>
      <c r="U36" s="97"/>
    </row>
    <row r="37" spans="1:21" ht="15" x14ac:dyDescent="0.2">
      <c r="A37" s="1"/>
      <c r="B37" s="13"/>
      <c r="C37" s="78">
        <f t="shared" ref="C37:C42" si="4">A37</f>
        <v>0</v>
      </c>
      <c r="D37" s="118" t="e">
        <f t="shared" ref="D37" si="5">C37/C46</f>
        <v>#DIV/0!</v>
      </c>
      <c r="F37" s="113" t="e">
        <f t="shared" si="2"/>
        <v>#DIV/0!</v>
      </c>
      <c r="J37" s="97" t="e">
        <f t="shared" si="3"/>
        <v>#DIV/0!</v>
      </c>
      <c r="O37" s="97"/>
      <c r="P37" s="97"/>
      <c r="Q37" s="97"/>
      <c r="R37" s="61"/>
      <c r="S37" s="61"/>
      <c r="T37" s="11"/>
      <c r="U37" s="97"/>
    </row>
    <row r="38" spans="1:21" ht="15" x14ac:dyDescent="0.2">
      <c r="A38" s="1"/>
      <c r="B38" s="13"/>
      <c r="C38" s="78">
        <f t="shared" si="4"/>
        <v>0</v>
      </c>
      <c r="D38" s="118" t="e">
        <f t="shared" ref="D38:D42" si="6">C38/C47</f>
        <v>#DIV/0!</v>
      </c>
      <c r="F38" s="113" t="e">
        <f t="shared" si="2"/>
        <v>#DIV/0!</v>
      </c>
      <c r="J38" s="97" t="e">
        <f t="shared" si="3"/>
        <v>#DIV/0!</v>
      </c>
      <c r="O38" s="97"/>
      <c r="P38" s="97"/>
      <c r="Q38" s="97"/>
      <c r="R38" s="61"/>
      <c r="S38" s="61"/>
      <c r="T38" s="11"/>
      <c r="U38" s="97"/>
    </row>
    <row r="39" spans="1:21" ht="19.899999999999999" customHeight="1" x14ac:dyDescent="0.2">
      <c r="A39" s="1"/>
      <c r="B39" s="13"/>
      <c r="C39" s="78">
        <f t="shared" si="4"/>
        <v>0</v>
      </c>
      <c r="D39" s="118" t="e">
        <f t="shared" si="6"/>
        <v>#DIV/0!</v>
      </c>
      <c r="F39" s="113" t="e">
        <f t="shared" si="2"/>
        <v>#DIV/0!</v>
      </c>
      <c r="J39" s="97" t="e">
        <f t="shared" si="3"/>
        <v>#DIV/0!</v>
      </c>
      <c r="O39" s="97"/>
      <c r="P39" s="97"/>
      <c r="Q39" s="97"/>
      <c r="R39" s="61"/>
      <c r="S39" s="61"/>
      <c r="T39" s="11"/>
      <c r="U39" s="97"/>
    </row>
    <row r="40" spans="1:21" ht="15" x14ac:dyDescent="0.2">
      <c r="A40" s="1"/>
      <c r="B40" s="13"/>
      <c r="C40" s="78">
        <f t="shared" si="4"/>
        <v>0</v>
      </c>
      <c r="D40" s="118" t="e">
        <f t="shared" si="6"/>
        <v>#DIV/0!</v>
      </c>
      <c r="F40" s="113" t="e">
        <f t="shared" si="2"/>
        <v>#DIV/0!</v>
      </c>
      <c r="J40" s="97" t="e">
        <f t="shared" si="3"/>
        <v>#DIV/0!</v>
      </c>
      <c r="O40" s="97"/>
      <c r="P40" s="97"/>
      <c r="Q40" s="97"/>
      <c r="R40" s="61"/>
      <c r="S40" s="61"/>
      <c r="T40" s="11"/>
      <c r="U40" s="97"/>
    </row>
    <row r="41" spans="1:21" ht="19.899999999999999" customHeight="1" x14ac:dyDescent="0.2">
      <c r="A41" s="1"/>
      <c r="B41" s="20"/>
      <c r="C41" s="78">
        <f t="shared" si="4"/>
        <v>0</v>
      </c>
      <c r="D41" s="118" t="e">
        <f t="shared" si="6"/>
        <v>#DIV/0!</v>
      </c>
      <c r="F41" s="113" t="e">
        <f t="shared" si="2"/>
        <v>#DIV/0!</v>
      </c>
      <c r="J41" s="97" t="e">
        <f t="shared" si="3"/>
        <v>#DIV/0!</v>
      </c>
      <c r="O41" s="97"/>
      <c r="P41" s="97"/>
      <c r="Q41" s="97"/>
      <c r="R41" s="61"/>
      <c r="S41" s="61"/>
      <c r="T41" s="11"/>
      <c r="U41" s="97"/>
    </row>
    <row r="42" spans="1:21" ht="15" x14ac:dyDescent="0.2">
      <c r="A42" s="1"/>
      <c r="B42" s="13"/>
      <c r="C42" s="78">
        <f t="shared" si="4"/>
        <v>0</v>
      </c>
      <c r="D42" s="118" t="e">
        <f t="shared" si="6"/>
        <v>#DIV/0!</v>
      </c>
      <c r="F42" s="113" t="e">
        <f t="shared" si="2"/>
        <v>#DIV/0!</v>
      </c>
      <c r="J42" s="97" t="e">
        <f t="shared" si="3"/>
        <v>#DIV/0!</v>
      </c>
      <c r="O42" s="97"/>
      <c r="P42" s="97"/>
      <c r="Q42" s="97"/>
      <c r="R42" s="61"/>
      <c r="S42" s="61"/>
      <c r="T42" s="11"/>
      <c r="U42" s="97"/>
    </row>
    <row r="43" spans="1:21" x14ac:dyDescent="0.25">
      <c r="B43" s="29" t="s">
        <v>3</v>
      </c>
      <c r="C43" s="45">
        <f>SUM(C25:C40)</f>
        <v>973005</v>
      </c>
      <c r="D43" s="21" t="e">
        <f>SUM(D26:D40)</f>
        <v>#DIV/0!</v>
      </c>
      <c r="E43" s="45">
        <f>SUM(E25:E40)</f>
        <v>942829</v>
      </c>
      <c r="F43" s="133">
        <f t="shared" si="2"/>
        <v>0.96898679862898962</v>
      </c>
      <c r="G43" s="45">
        <f>SUM(G25:G40)</f>
        <v>1006630</v>
      </c>
      <c r="H43" s="17">
        <f>G43/G45</f>
        <v>0.19456039571160383</v>
      </c>
      <c r="I43" s="99"/>
      <c r="J43" s="25"/>
      <c r="K43" s="45">
        <f>SUM(K25:K40)</f>
        <v>0</v>
      </c>
      <c r="L43" s="118" t="e">
        <f>SUM(L25:L36)</f>
        <v>#DIV/0!</v>
      </c>
      <c r="P43" s="97"/>
    </row>
    <row r="44" spans="1:21" x14ac:dyDescent="0.25">
      <c r="B44" s="81" t="s">
        <v>28</v>
      </c>
      <c r="C44" s="82"/>
      <c r="D44" s="117"/>
      <c r="E44" s="82"/>
      <c r="F44" s="133"/>
      <c r="G44" s="83"/>
      <c r="H44" s="117"/>
      <c r="I44" s="80"/>
      <c r="J44" s="16"/>
      <c r="K44" s="84">
        <f>0.25*K46</f>
        <v>1293467.25</v>
      </c>
      <c r="L44" s="117">
        <v>0.25</v>
      </c>
    </row>
    <row r="45" spans="1:21" ht="24" customHeight="1" x14ac:dyDescent="0.25">
      <c r="B45" s="42" t="s">
        <v>46</v>
      </c>
      <c r="C45" s="135">
        <f>C18+C43</f>
        <v>5117328</v>
      </c>
      <c r="D45" s="17">
        <v>1</v>
      </c>
      <c r="E45" s="135">
        <f>E18+E43</f>
        <v>5000632.0999999996</v>
      </c>
      <c r="F45" s="133">
        <f t="shared" si="2"/>
        <v>0.97719593115782288</v>
      </c>
      <c r="G45" s="47">
        <f>G18+G43</f>
        <v>5173869</v>
      </c>
      <c r="H45" s="17">
        <v>1</v>
      </c>
      <c r="I45" s="24"/>
      <c r="J45" s="25"/>
      <c r="K45" s="59">
        <f>K18+K43</f>
        <v>0</v>
      </c>
      <c r="L45" s="114" t="e">
        <f>L18+L43</f>
        <v>#DIV/0!</v>
      </c>
      <c r="O45" s="97"/>
      <c r="P45" s="97"/>
      <c r="Q45" s="97"/>
    </row>
    <row r="46" spans="1:21" x14ac:dyDescent="0.25">
      <c r="B46" s="69" t="s">
        <v>87</v>
      </c>
      <c r="C46" s="59"/>
      <c r="D46" s="30"/>
      <c r="E46" s="69"/>
      <c r="F46" s="75"/>
      <c r="G46" s="46"/>
      <c r="H46" s="46"/>
      <c r="I46" s="46"/>
      <c r="J46" s="46"/>
      <c r="K46" s="136">
        <f>G45</f>
        <v>5173869</v>
      </c>
      <c r="L46" s="46"/>
    </row>
    <row r="47" spans="1:21" s="90" customFormat="1" ht="15" x14ac:dyDescent="0.2">
      <c r="B47" s="92"/>
      <c r="C47" s="92"/>
      <c r="D47" s="92"/>
      <c r="E47" s="92"/>
      <c r="F47" s="92"/>
      <c r="I47" s="93"/>
      <c r="K47" s="130">
        <f>K43+K44+K45</f>
        <v>1293467.25</v>
      </c>
    </row>
    <row r="48" spans="1:21" s="90" customFormat="1" ht="15" x14ac:dyDescent="0.2">
      <c r="A48" s="91" t="s">
        <v>84</v>
      </c>
      <c r="B48" s="92"/>
      <c r="C48" s="92"/>
      <c r="D48" s="92"/>
      <c r="E48" s="92"/>
      <c r="F48" s="92"/>
      <c r="I48" s="93"/>
    </row>
    <row r="49" spans="1:12" s="90" customFormat="1" ht="15" x14ac:dyDescent="0.2">
      <c r="A49" s="92" t="s">
        <v>83</v>
      </c>
      <c r="B49" s="105"/>
      <c r="C49" s="105"/>
      <c r="D49" s="105"/>
      <c r="E49" s="105"/>
      <c r="F49" s="105"/>
      <c r="G49" s="106"/>
      <c r="H49" s="106"/>
      <c r="I49" s="106"/>
      <c r="J49" s="106"/>
      <c r="K49" s="106"/>
      <c r="L49" s="106"/>
    </row>
    <row r="50" spans="1:12" ht="24" customHeight="1" x14ac:dyDescent="0.25">
      <c r="B50" s="2" t="s">
        <v>98</v>
      </c>
    </row>
    <row r="51" spans="1:12" s="131" customFormat="1" ht="50.45" hidden="1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2" hidden="1" x14ac:dyDescent="0.25"/>
    <row r="53" spans="1:12" hidden="1" x14ac:dyDescent="0.25"/>
    <row r="54" spans="1:12" hidden="1" x14ac:dyDescent="0.25"/>
  </sheetData>
  <mergeCells count="1">
    <mergeCell ref="A1:L1"/>
  </mergeCells>
  <printOptions horizontalCentered="1" gridLines="1"/>
  <pageMargins left="0.25" right="0.25" top="0.5" bottom="0.25" header="0.5" footer="0.5"/>
  <pageSetup scale="69" fitToHeight="0" orientation="landscape" r:id="rId1"/>
  <headerFooter alignWithMargins="0">
    <oddFooter>&amp;L&amp;8Part A - Flat&amp;R&amp;8Page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#1=- Flat</vt:lpstr>
      <vt:lpstr>#2=+10%</vt:lpstr>
      <vt:lpstr>#3=-10%</vt:lpstr>
      <vt:lpstr>Allocations and Expenditures</vt:lpstr>
      <vt:lpstr>'#1=- Flat'!Print_Area</vt:lpstr>
      <vt:lpstr>'Allocations and Expenditures'!Print_Area</vt:lpstr>
      <vt:lpstr>'Allocations and Expenditures'!Print_Titles</vt:lpstr>
      <vt:lpstr>TitleRegion1.A1.L50.1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Allocations and Expenditures</dc:title>
  <dc:subject>RWHAP Part A Program</dc:subject>
  <dc:creator>HRSA</dc:creator>
  <cp:keywords>RWHAP</cp:keywords>
  <cp:lastModifiedBy>Oluwatunmise Olowojoba</cp:lastModifiedBy>
  <cp:lastPrinted>2018-08-03T16:18:47Z</cp:lastPrinted>
  <dcterms:created xsi:type="dcterms:W3CDTF">2007-05-31T17:02:37Z</dcterms:created>
  <dcterms:modified xsi:type="dcterms:W3CDTF">2019-02-19T15:13:05Z</dcterms:modified>
</cp:coreProperties>
</file>